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36ddf440644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tradas" sheetId="1" r:id="Rd8c40f1479944b7b"/>
    <x:sheet xmlns:r="http://schemas.openxmlformats.org/officeDocument/2006/relationships" name="Cenarios" sheetId="2" r:id="R9c52997b051c4f3b"/>
    <x:sheet xmlns:r="http://schemas.openxmlformats.org/officeDocument/2006/relationships" name="Painel" sheetId="3" r:id="Rd216d11f5ecf4b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00"/>
    <x:numFmt numFmtId="201" formatCode="0.00"/>
    <x:numFmt numFmtId="202" formatCode="0.0%"/>
    <x:numFmt numFmtId="203" formatCode="R$ #,##0.00"/>
    <x:numFmt numFmtId="204" formatCode="0.0000"/>
    <x:numFmt numFmtId="205" formatCode="#,##0.00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1"/>
      <x:color rgb="FF075B93"/>
      <x:name val="Carlito"/>
    </x:font>
    <x:font>
      <x:b/>
      <x:sz val="15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344D"/>
      </x:patternFill>
    </x:fill>
    <x:fill>
      <x:patternFill patternType="solid">
        <x:fgColor rgb="FF1467A0"/>
      </x:patternFill>
    </x:fill>
    <x:fill>
      <x:patternFill patternType="solid">
        <x:fgColor rgb="FFE7F4FF"/>
      </x:patternFill>
    </x:fill>
    <x:fill>
      <x:patternFill patternType="solid">
        <x:fgColor rgb="FF60798D"/>
      </x:patternFill>
    </x:fill>
  </x:fills>
  <x:borders count="2">
    <x:border/>
    <x:border/>
  </x:borders>
  <x:cellStyleXfs count="1">
    <x:xf numFmtId="0" fontId="0" fillId="0" borderId="0"/>
  </x:cellStyleXfs>
  <x:cellXfs count="3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200" fontId="3" fillId="4" borderId="0" xfId="0" applyNumberFormat="1" applyFont="1" applyFill="1" applyBorder="1"/>
    <x:xf numFmtId="200" fontId="3" fillId="4" borderId="1" xfId="0" applyNumberFormat="1" applyFont="1" applyFill="1" applyBorder="1"/>
    <x:xf numFmtId="201" fontId="3" fillId="4" borderId="0" xfId="0" applyNumberFormat="1" applyFont="1" applyFill="1" applyBorder="1"/>
    <x:xf numFmtId="201" fontId="3" fillId="4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5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6ce344cc6a476b" /><Relationship Type="http://schemas.openxmlformats.org/officeDocument/2006/relationships/theme" Target="/xl/theme/theme1.xml" Id="R45217163082346c1" /><Relationship Type="http://schemas.openxmlformats.org/officeDocument/2006/relationships/sharedStrings" Target="/xl/sharedStrings.xml" Id="Rf91642532f3d46a5" /><Relationship Type="http://schemas.openxmlformats.org/officeDocument/2006/relationships/worksheet" Target="/xl/worksheets/sheet1.xml" Id="Rd8c40f1479944b7b" /><Relationship Type="http://schemas.openxmlformats.org/officeDocument/2006/relationships/worksheet" Target="/xl/worksheets/sheet2.xml" Id="R9c52997b051c4f3b" /><Relationship Type="http://schemas.openxmlformats.org/officeDocument/2006/relationships/worksheet" Target="/xl/worksheets/sheet3.xml" Id="Rd216d11f5ecf4b3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bfa38d461c4409f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lineChart>
        <c:grouping val="standard"/>
        <c:varyColors val="0"/>
        <c:ser>
          <c:idx val="0"/>
          <c:order val="0"/>
          <c:tx>
            <c:v>Perda (W)</c:v>
          </c:tx>
          <c:marker>
            <c:symbol val="none"/>
          </c:marker>
          <c:cat>
            <c:strRef>
              <c:f>'Cenarios'!$A$5:$A$15</c:f>
              <c:strCache>
                <c:ptCount val="0"/>
              </c:strCache>
            </c:strRef>
          </c:cat>
          <c:val>
            <c:numRef>
              <c:f>'Cenarios'!$B$5:$B$15</c:f>
              <c:numCache>
                <c:formatCode>General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15</xdr:row>
      <xdr:rowOff>0</xdr:rowOff>
    </xdr:from>
    <xdr:to>
      <xdr:col>8</xdr:col>
      <xdr:colOff>0</xdr:colOff>
      <xdr:row>32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bfa38d461c4409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acb9b96a24ad4162" /></Relationships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17" hidden="0" customWidth="1"/>
    <x:col min="3" max="3" width="17" hidden="0" customWidth="1"/>
    <x:col min="4" max="4" width="74" hidden="0" customWidth="1"/>
  </x:cols>
  <x:sheetData>
    <x:row r="1" ht="25" customHeight="1">
      <x:c r="A1" s="4" t="str">
        <x:v>ANDRADE SAFE  |  ENGENHARIA 003  |  TRANSFERÊNCIA DE CALOR</x:v>
      </x:c>
      <x:c r="B1" s="4"/>
      <x:c r="C1" s="4"/>
      <x:c r="D1" s="4"/>
      <x:c r="E1" s="4"/>
      <x:c r="F1" s="4"/>
    </x:row>
    <x:row r="2" ht="25" customHeight="1">
      <x:c r="A2" s="4"/>
      <x:c r="B2" s="4"/>
      <x:c r="C2" s="4"/>
      <x:c r="D2" s="4"/>
      <x:c r="E2" s="4"/>
      <x:c r="F2" s="4"/>
    </x:row>
    <x:row r="4" ht="26" customHeight="1">
      <x:c r="A4" s="9" t="str">
        <x:v>PARÂMETRO</x:v>
      </x:c>
      <x:c r="B4" s="9" t="str">
        <x:v>VALOR</x:v>
      </x:c>
      <x:c r="C4" s="9" t="str">
        <x:v>UNIDADE</x:v>
      </x:c>
      <x:c r="D4" s="9" t="str">
        <x:v>SIGNIFICADO / PREMISSA</x:v>
      </x:c>
    </x:row>
    <x:row r="5" ht="24" customHeight="1">
      <x:c r="A5" t="str">
        <x:v>Comprimento L</x:v>
      </x:c>
      <x:c r="B5" s="13" t="n">
        <x:v>10</x:v>
      </x:c>
      <x:c r="C5" t="str">
        <x:v>m</x:v>
      </x:c>
      <x:c r="D5" t="str">
        <x:v>Trecho em regime permanente</x:v>
      </x:c>
    </x:row>
    <x:row r="6" ht="24" customHeight="1">
      <x:c r="A6" t="str">
        <x:v>Raio interno r_i</x:v>
      </x:c>
      <x:c r="B6" s="13" t="n">
        <x:v>12.5</x:v>
      </x:c>
      <x:c r="C6" t="str">
        <x:v>mm</x:v>
      </x:c>
      <x:c r="D6" t="str">
        <x:v>Geometria do tubo</x:v>
      </x:c>
    </x:row>
    <x:row r="7" ht="24" customHeight="1">
      <x:c r="A7" t="str">
        <x:v>Raio externo do aço r_t</x:v>
      </x:c>
      <x:c r="B7" s="13" t="n">
        <x:v>15</x:v>
      </x:c>
      <x:c r="C7" t="str">
        <x:v>mm</x:v>
      </x:c>
      <x:c r="D7" t="str">
        <x:v>Geometria do tubo</x:v>
      </x:c>
    </x:row>
    <x:row r="8" ht="24" customHeight="1">
      <x:c r="A8" t="str">
        <x:v>Temperatura água T_f</x:v>
      </x:c>
      <x:c r="B8" s="13" t="n">
        <x:v>90</x:v>
      </x:c>
      <x:c r="C8" t="str">
        <x:v>°C</x:v>
      </x:c>
      <x:c r="D8" t="str">
        <x:v>Fluido idealizado a temperatura uniforme</x:v>
      </x:c>
    </x:row>
    <x:row r="9" ht="24" customHeight="1">
      <x:c r="A9" t="str">
        <x:v>Temperatura ar / entorno T_a</x:v>
      </x:c>
      <x:c r="B9" s="13" t="n">
        <x:v>25</x:v>
      </x:c>
      <x:c r="C9" t="str">
        <x:v>°C</x:v>
      </x:c>
      <x:c r="D9" t="str">
        <x:v>Ar e entorno radiativo iguais</x:v>
      </x:c>
    </x:row>
    <x:row r="10" ht="24" customHeight="1">
      <x:c r="A10" t="str">
        <x:v>Convecção interna h_i</x:v>
      </x:c>
      <x:c r="B10" s="13" t="n">
        <x:v>500</x:v>
      </x:c>
      <x:c r="C10" t="str">
        <x:v>W/(m²·K)</x:v>
      </x:c>
      <x:c r="D10" t="str">
        <x:v>Constante didática</x:v>
      </x:c>
    </x:row>
    <x:row r="11" ht="24" customHeight="1">
      <x:c r="A11" t="str">
        <x:v>Convecção externa h_o</x:v>
      </x:c>
      <x:c r="B11" s="13" t="n">
        <x:v>10</x:v>
      </x:c>
      <x:c r="C11" t="str">
        <x:v>W/(m²·K)</x:v>
      </x:c>
      <x:c r="D11" t="str">
        <x:v>Constante didática; não calculada com vento</x:v>
      </x:c>
    </x:row>
    <x:row r="12" ht="24" customHeight="1">
      <x:c r="A12" t="str">
        <x:v>Condutividade aço</x:v>
      </x:c>
      <x:c r="B12" s="13" t="n">
        <x:v>45</x:v>
      </x:c>
      <x:c r="C12" t="str">
        <x:v>W/(m·K)</x:v>
      </x:c>
      <x:c r="D12" t="str">
        <x:v>Constante</x:v>
      </x:c>
    </x:row>
    <x:row r="13" ht="24" customHeight="1">
      <x:c r="A13" t="str">
        <x:v>Condutividade isolamento</x:v>
      </x:c>
      <x:c r="B13" s="16" t="n">
        <x:v>0.04</x:v>
      </x:c>
      <x:c r="C13" t="str">
        <x:v>W/(m·K)</x:v>
      </x:c>
      <x:c r="D13" t="str">
        <x:v>Constante</x:v>
      </x:c>
    </x:row>
    <x:row r="14" ht="24" customHeight="1">
      <x:c r="A14" t="str">
        <x:v>Emissividade</x:v>
      </x:c>
      <x:c r="B14" s="16" t="n">
        <x:v>0.8</x:v>
      </x:c>
      <x:c r="C14" t="str">
        <x:v>—</x:v>
      </x:c>
      <x:c r="D14" t="str">
        <x:v>Constante para comparação controlada</x:v>
      </x:c>
    </x:row>
    <x:row r="15" ht="24" customHeight="1">
      <x:c r="A15" t="str">
        <x:v>Radiação ativa? (1=sim)</x:v>
      </x:c>
      <x:c r="B15" s="13" t="n">
        <x:v>1</x:v>
      </x:c>
      <x:c r="C15" t="str">
        <x:v>0 ou 1</x:v>
      </x:c>
      <x:c r="D15" t="str">
        <x:v>0: somente convecção; 1: inclui radiação</x:v>
      </x:c>
    </x:row>
    <x:row r="16" ht="24" customHeight="1">
      <x:c r="A16" t="str">
        <x:v>Horas por ano</x:v>
      </x:c>
      <x:c r="B16" s="13" t="n">
        <x:v>4000</x:v>
      </x:c>
      <x:c r="C16" t="str">
        <x:v>h/ano</x:v>
      </x:c>
      <x:c r="D16" t="str">
        <x:v>Hipótese econômica</x:v>
      </x:c>
    </x:row>
    <x:row r="17" ht="24" customHeight="1">
      <x:c r="A17" t="str">
        <x:v>Preço energia de entrada</x:v>
      </x:c>
      <x:c r="B17" s="13" t="n">
        <x:v>0.75</x:v>
      </x:c>
      <x:c r="C17" t="str">
        <x:v>R$/kWh</x:v>
      </x:c>
      <x:c r="D17" t="str">
        <x:v>Exemplo didático, não tarifa real</x:v>
      </x:c>
    </x:row>
    <x:row r="18" ht="24" customHeight="1">
      <x:c r="A18" t="str">
        <x:v>Eficiência geração térmica</x:v>
      </x:c>
      <x:c r="B18" s="18" t="n">
        <x:v>0.85</x:v>
      </x:c>
      <x:c r="C18" t="str">
        <x:v>0 a 1</x:v>
      </x:c>
      <x:c r="D18" t="str">
        <x:v>Reposição de energia perdida</x:v>
      </x:c>
    </x:row>
    <x:row r="20">
      <x:c r="A20" t="str">
        <x:v>Raio crítico convectivo (mm)</x:v>
      </x:c>
      <x:c r="B20" s="20" t="n">
        <x:f>B13/B11*1000</x:f>
        <x:v>4</x:v>
      </x:c>
      <x:c r="D20" t="str">
        <x:v>Apenas para h constante, sem radiação; comparar ao raio do tubo, não à espessura.</x:v>
      </x:c>
    </x:row>
    <x:row r="22">
      <x:c r="A22" t="str">
        <x:v>MODELO</x:v>
      </x:c>
      <x:c r="B22"/>
      <x:c r="C22"/>
      <x:c r="D22" t="str">
        <x:v>Cilindro: resistências internas + fronteira convecção/radiação.</x:v>
      </x:c>
    </x:row>
    <x:row r="23">
      <x:c r="A23" t="str">
        <x:v>OBSERVAÇÃO</x:v>
      </x:c>
      <x:c r="B23"/>
      <x:c r="C23"/>
      <x:c r="D23" t="str">
        <x:v>Dados editáveis em azul; todas as células de resultado são fórmulas.</x:v>
      </x:c>
    </x:row>
  </x:sheetData>
  <x:mergeCells>
    <x:mergeCell ref="A1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16" hidden="0" customWidth="1"/>
    <x:col min="3" max="3" width="16" hidden="0" customWidth="1"/>
    <x:col min="4" max="4" width="16" hidden="0" customWidth="1"/>
    <x:col min="5" max="5" width="12" hidden="0" customWidth="1"/>
    <x:col min="6" max="6" width="21" hidden="0" customWidth="1"/>
    <x:col min="7" max="7" width="21" hidden="0" customWidth="1"/>
    <x:col min="8" max="8" width="16" hidden="0" customWidth="1"/>
    <x:col min="9" max="9" width="16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  <x:col min="27" max="27" width="14" hidden="0" customWidth="1"/>
    <x:col min="28" max="28" width="14" hidden="0" customWidth="1"/>
    <x:col min="29" max="29" width="14" hidden="0" customWidth="1"/>
  </x:cols>
  <x:sheetData>
    <x:row r="1" ht="25" customHeight="1">
      <x:c r="A1" s="23" t="str">
        <x:v>CENÁRIOS  |  PERDAS TÉRMICAS E COMPARAÇÃO DE ISOLAMENTO</x:v>
      </x:c>
      <x:c r="B1" s="23"/>
      <x:c r="C1" s="23"/>
      <x:c r="D1" s="23"/>
      <x:c r="E1" s="23"/>
      <x:c r="F1" s="23"/>
      <x:c r="G1" s="23"/>
      <x:c r="H1" s="23"/>
      <x:c r="I1" s="23"/>
    </x:row>
    <x:row r="2" ht="25" customHeight="1">
      <x:c r="A2" s="23"/>
      <x:c r="B2" s="23"/>
      <x:c r="C2" s="23"/>
      <x:c r="D2" s="23"/>
      <x:c r="E2" s="23"/>
      <x:c r="F2" s="23"/>
      <x:c r="G2" s="23"/>
      <x:c r="H2" s="23"/>
      <x:c r="I2" s="23"/>
    </x:row>
    <x:row r="4" ht="29" customHeight="1">
      <x:c r="A4" s="9" t="str">
        <x:v>Isolamento mm</x:v>
      </x:c>
      <x:c r="B4" s="9" t="str">
        <x:v>Q (W)</x:v>
      </x:c>
      <x:c r="C4" s="9" t="str">
        <x:v>Q/L (W/m)</x:v>
      </x:c>
      <x:c r="D4" s="9" t="str">
        <x:v>Ts (°C)</x:v>
      </x:c>
      <x:c r="E4" s="9" t="str">
        <x:v>Redução</x:v>
      </x:c>
      <x:c r="F4" s="9" t="str">
        <x:v>Custo (R$/ano)</x:v>
      </x:c>
      <x:c r="G4" s="9" t="str">
        <x:v>Economia (R$/ano)</x:v>
      </x:c>
      <x:c r="H4" s="9" t="str">
        <x:v>Conv. (W)</x:v>
      </x:c>
      <x:c r="I4" s="9" t="str">
        <x:v>Rad. (W)</x:v>
      </x:c>
      <x:c r="J4" s="27" t="str">
        <x:v>r3 (m)</x:v>
      </x:c>
      <x:c r="K4" s="27" t="str">
        <x:v>A3 (m²)</x:v>
      </x:c>
      <x:c r="L4" s="27" t="str">
        <x:v>Rint (K/W)</x:v>
      </x:c>
      <x:c r="M4" s="27" t="str">
        <x:v>Ts0</x:v>
      </x:c>
      <x:c r="N4" s="27" t="str">
        <x:v>hrad0</x:v>
      </x:c>
      <x:c r="O4" s="27" t="str">
        <x:v>Ts1</x:v>
      </x:c>
      <x:c r="P4" s="27" t="str">
        <x:v>hrad1</x:v>
      </x:c>
      <x:c r="Q4" s="27" t="str">
        <x:v>Ts2</x:v>
      </x:c>
      <x:c r="R4" s="27" t="str">
        <x:v>hrad2</x:v>
      </x:c>
      <x:c r="S4" s="27" t="str">
        <x:v>Ts3</x:v>
      </x:c>
      <x:c r="T4" s="27" t="str">
        <x:v>hrad3</x:v>
      </x:c>
      <x:c r="U4" s="27" t="str">
        <x:v>Ts4</x:v>
      </x:c>
      <x:c r="V4" s="27" t="str">
        <x:v>hrad4</x:v>
      </x:c>
      <x:c r="W4" s="27" t="str">
        <x:v>Ts5</x:v>
      </x:c>
      <x:c r="X4" s="27" t="str">
        <x:v>hrad5</x:v>
      </x:c>
      <x:c r="Y4" s="27" t="str">
        <x:v>Ts6</x:v>
      </x:c>
      <x:c r="Z4" s="27" t="str">
        <x:v>hrad6</x:v>
      </x:c>
      <x:c r="AA4" s="27" t="str">
        <x:v>Ts7</x:v>
      </x:c>
      <x:c r="AB4" s="27" t="str">
        <x:v>hrad7</x:v>
      </x:c>
      <x:c r="AC4" s="27" t="str">
        <x:v>Ts8</x:v>
      </x:c>
    </x:row>
    <x:row r="5" ht="26" customHeight="1">
      <x:c r="A5" s="13" t="n">
        <x:v>0</x:v>
      </x:c>
      <x:c r="B5" s="20" t="n">
        <x:f>(Entradas!$B$8-AC5)/L5</x:f>
        <x:v>973.7639538608839</x:v>
      </x:c>
      <x:c r="C5" s="20" t="n">
        <x:f>B5/Entradas!$B$5</x:f>
        <x:v>97.37639538608839</x:v>
      </x:c>
      <x:c r="D5" s="20" t="n">
        <x:f>AC5</x:f>
        <x:v>87.45753917395939</x:v>
      </x:c>
      <x:c r="E5" s="30" t="n">
        <x:f>1-B5/$B$5</x:f>
        <x:v>0</x:v>
      </x:c>
      <x:c r="F5" s="32" t="n">
        <x:f>B5/1000*Entradas!$B$16/Entradas!$B$18*Entradas!$B$17</x:f>
        <x:v>3436.8139548031195</x:v>
      </x:c>
      <x:c r="G5" s="32" t="n">
        <x:f>$F$5-F5</x:f>
        <x:v>0</x:v>
      </x:c>
      <x:c r="H5" s="20" t="n">
        <x:f>Entradas!$B$11*K5*(D5-Entradas!$B$9)</x:f>
        <x:v>588.6484386906226</x:v>
      </x:c>
      <x:c r="I5" s="20" t="n">
        <x:f>IF(Entradas!$B$15=1,Entradas!$B$14*0.00000005670374419*K5*((D5+273.15)^4-(Entradas!$B$9+273.15)^4),0)</x:f>
        <x:v>385.11551517026004</x:v>
      </x:c>
      <x:c r="J5" s="34" t="n">
        <x:f>(Entradas!$B$7+A5)/1000</x:f>
        <x:v>0.015</x:v>
      </x:c>
      <x:c r="K5" s="34" t="n">
        <x:f>2*PI()*J5*Entradas!$B$5</x:f>
        <x:v>0.9424777960769379</x:v>
      </x:c>
      <x:c r="L5" s="34" t="n">
        <x:f>1/(Entradas!$B$10*2*PI()*(Entradas!$B$6/1000)*Entradas!$B$5)+LN(Entradas!$B$7/Entradas!$B$6)/(2*PI()*Entradas!$B$12*Entradas!$B$5)+LN(J5/(Entradas!$B$7/1000))/(2*PI()*Entradas!$B$13*Entradas!$B$5)</x:f>
        <x:v>0.0026109621494613644</x:v>
      </x:c>
      <x:c r="M5" s="34" t="n">
        <x:f>Entradas!$B$9+(Entradas!$B$8-Entradas!$B$9)/(1+L5*K5*Entradas!$B$11)</x:f>
        <x:v>88.43891184515326</x:v>
      </x:c>
      <x:c r="N5" s="34" t="n">
        <x:f>IF(Entradas!$B$15=1,Entradas!$B$14*0.00000005670374419*(((M5+273.15)^2)+((Entradas!$B$9+273.15)^2))*((M5+273.15)+(Entradas!$B$9+273.15)),0)</x:f>
        <x:v>6.573326230901745</x:v>
      </x:c>
      <x:c r="O5" s="34" t="n">
        <x:f>Entradas!$B$9+(Entradas!$B$8-Entradas!$B$9)/(1+L5*K5*(Entradas!$B$11+N5))</x:f>
        <x:v>87.45296764084972</x:v>
      </x:c>
      <x:c r="P5" s="34" t="n">
        <x:f>IF(Entradas!$B$15=1,Entradas!$B$14*0.00000005670374419*(((O5+273.15)^2)+((Entradas!$B$9+273.15)^2))*((O5+273.15)+(Entradas!$B$9+273.15)),0)</x:f>
        <x:v>6.542224825831079</x:v>
      </x:c>
      <x:c r="Q5" s="34" t="n">
        <x:f>Entradas!$B$9+(Entradas!$B$8-Entradas!$B$9)/(1+L5*K5*(Entradas!$B$11+P5))</x:f>
        <x:v>87.45756042942185</x:v>
      </x:c>
      <x:c r="R5" s="34" t="n">
        <x:f>IF(Entradas!$B$15=1,Entradas!$B$14*0.00000005670374419*(((Q5+273.15)^2)+((Entradas!$B$9+273.15)^2))*((Q5+273.15)+(Entradas!$B$9+273.15)),0)</x:f>
        <x:v>6.5423694220470585</x:v>
      </x:c>
      <x:c r="S5" s="34" t="n">
        <x:f>Entradas!$B$9+(Entradas!$B$8-Entradas!$B$9)/(1+L5*K5*(Entradas!$B$11+R5))</x:f>
        <x:v>87.4575390751307</x:v>
      </x:c>
      <x:c r="T5" s="34" t="n">
        <x:f>IF(Entradas!$B$15=1,Entradas!$B$14*0.00000005670374419*(((S5+273.15)^2)+((Entradas!$B$9+273.15)^2))*((S5+273.15)+(Entradas!$B$9+273.15)),0)</x:f>
        <x:v>6.54236874973704</x:v>
      </x:c>
      <x:c r="U5" s="34" t="n">
        <x:f>Entradas!$B$9+(Entradas!$B$8-Entradas!$B$9)/(1+L5*K5*(Entradas!$B$11+T5))</x:f>
        <x:v>87.4575391744189</x:v>
      </x:c>
      <x:c r="V5" s="34" t="n">
        <x:f>IF(Entradas!$B$15=1,Entradas!$B$14*0.00000005670374419*(((U5+273.15)^2)+((Entradas!$B$9+273.15)^2))*((U5+273.15)+(Entradas!$B$9+273.15)),0)</x:f>
        <x:v>6.542368752862992</x:v>
      </x:c>
      <x:c r="W5" s="34" t="n">
        <x:f>Entradas!$B$9+(Entradas!$B$8-Entradas!$B$9)/(1+L5*K5*(Entradas!$B$11+V5))</x:f>
        <x:v>87.45753917395726</x:v>
      </x:c>
      <x:c r="X5" s="34" t="n">
        <x:f>IF(Entradas!$B$15=1,Entradas!$B$14*0.00000005670374419*(((W5+273.15)^2)+((Entradas!$B$9+273.15)^2))*((W5+273.15)+(Entradas!$B$9+273.15)),0)</x:f>
        <x:v>6.542368752848456</x:v>
      </x:c>
      <x:c r="Y5" s="34" t="n">
        <x:f>Entradas!$B$9+(Entradas!$B$8-Entradas!$B$9)/(1+L5*K5*(Entradas!$B$11+X5))</x:f>
        <x:v>87.45753917395939</x:v>
      </x:c>
      <x:c r="Z5" s="34" t="n">
        <x:f>IF(Entradas!$B$15=1,Entradas!$B$14*0.00000005670374419*(((Y5+273.15)^2)+((Entradas!$B$9+273.15)^2))*((Y5+273.15)+(Entradas!$B$9+273.15)),0)</x:f>
        <x:v>6.542368752848525</x:v>
      </x:c>
      <x:c r="AA5" s="34" t="n">
        <x:f>Entradas!$B$9+(Entradas!$B$8-Entradas!$B$9)/(1+L5*K5*(Entradas!$B$11+Z5))</x:f>
        <x:v>87.45753917395939</x:v>
      </x:c>
      <x:c r="AB5" s="34" t="n">
        <x:f>IF(Entradas!$B$15=1,Entradas!$B$14*0.00000005670374419*(((AA5+273.15)^2)+((Entradas!$B$9+273.15)^2))*((AA5+273.15)+(Entradas!$B$9+273.15)),0)</x:f>
        <x:v>6.542368752848525</x:v>
      </x:c>
      <x:c r="AC5" s="34" t="n">
        <x:f>Entradas!$B$9+(Entradas!$B$8-Entradas!$B$9)/(1+L5*K5*(Entradas!$B$11+AB5))</x:f>
        <x:v>87.45753917395939</x:v>
      </x:c>
    </x:row>
    <x:row r="6" ht="26" customHeight="1">
      <x:c r="A6" s="13" t="n">
        <x:v>5</x:v>
      </x:c>
      <x:c r="B6" s="20" t="n">
        <x:f>(Entradas!$B$8-AC6)/L6</x:f>
        <x:v>384.52864237675595</x:v>
      </x:c>
      <x:c r="C6" s="20" t="n">
        <x:f>B6/Entradas!$B$5</x:f>
        <x:v>38.4528642376756</x:v>
      </x:c>
      <x:c r="D6" s="20" t="n">
        <x:f>AC6</x:f>
        <x:v>44.98091627333207</x:v>
      </x:c>
      <x:c r="E6" s="30" t="n">
        <x:f>1-B6/$B$5</x:f>
        <x:v>0.6051110324507952</x:v>
      </x:c>
      <x:c r="F6" s="32" t="n">
        <x:f>B6/1000*Entradas!$B$16/Entradas!$B$18*Entradas!$B$17</x:f>
        <x:v>1357.1599142709033</x:v>
      </x:c>
      <x:c r="G6" s="32" t="n">
        <x:f>$F$5-F6</x:f>
        <x:v>2079.654040532216</x:v>
      </x:c>
      <x:c r="H6" s="20" t="n">
        <x:f>Entradas!$B$11*K6*(D6-Entradas!$B$9)</x:f>
        <x:v>251.0875991051711</x:v>
      </x:c>
      <x:c r="I6" s="20" t="n">
        <x:f>IF(Entradas!$B$15=1,Entradas!$B$14*0.00000005670374419*K6*((D6+273.15)^4-(Entradas!$B$9+273.15)^4),0)</x:f>
        <x:v>133.44104327160397</x:v>
      </x:c>
      <x:c r="J6" s="34" t="n">
        <x:f>(Entradas!$B$7+A6)/1000</x:f>
        <x:v>0.02</x:v>
      </x:c>
      <x:c r="K6" s="34" t="n">
        <x:f>2*PI()*J6*Entradas!$B$5</x:f>
        <x:v>1.2566370614359172</x:v>
      </x:c>
      <x:c r="L6" s="34" t="n">
        <x:f>1/(Entradas!$B$10*2*PI()*(Entradas!$B$6/1000)*Entradas!$B$5)+LN(Entradas!$B$7/Entradas!$B$6)/(2*PI()*Entradas!$B$12*Entradas!$B$5)+LN(J6/(Entradas!$B$7/1000))/(2*PI()*Entradas!$B$13*Entradas!$B$5)</x:f>
        <x:v>0.11707602182351566</x:v>
      </x:c>
      <x:c r="M6" s="34" t="n">
        <x:f>Entradas!$B$9+(Entradas!$B$8-Entradas!$B$9)/(1+L6*K6*Entradas!$B$11)</x:f>
        <x:v>51.30279056761368</x:v>
      </x:c>
      <x:c r="N6" s="34" t="n">
        <x:f>IF(Entradas!$B$15=1,Entradas!$B$14*0.00000005670374419*(((M6+273.15)^2)+((Entradas!$B$9+273.15)^2))*((M6+273.15)+(Entradas!$B$9+273.15)),0)</x:f>
        <x:v>5.483771375050665</x:v>
      </x:c>
      <x:c r="O6" s="34" t="n">
        <x:f>Entradas!$B$9+(Entradas!$B$8-Entradas!$B$9)/(1+L6*K6*(Entradas!$B$11+N6))</x:f>
        <x:v>44.829137111445014</x:v>
      </x:c>
      <x:c r="P6" s="34" t="n">
        <x:f>IF(Entradas!$B$15=1,Entradas!$B$14*0.00000005670374419*(((O6+273.15)^2)+((Entradas!$B$9+273.15)^2))*((O6+273.15)+(Entradas!$B$9+273.15)),0)</x:f>
        <x:v>5.3105141107044425</x:v>
      </x:c>
      <x:c r="Q6" s="34" t="n">
        <x:f>Entradas!$B$9+(Entradas!$B$8-Entradas!$B$9)/(1+L6*K6*(Entradas!$B$11+P6))</x:f>
        <x:v>44.984538125479446</x:v>
      </x:c>
      <x:c r="R6" s="34" t="n">
        <x:f>IF(Entradas!$B$15=1,Entradas!$B$14*0.00000005670374419*(((Q6+273.15)^2)+((Entradas!$B$9+273.15)^2))*((Q6+273.15)+(Entradas!$B$9+273.15)),0)</x:f>
        <x:v>5.3146171135708515</x:v>
      </x:c>
      <x:c r="S6" s="34" t="n">
        <x:f>Entradas!$B$9+(Entradas!$B$8-Entradas!$B$9)/(1+L6*K6*(Entradas!$B$11+R6))</x:f>
        <x:v>44.98082983350432</x:v>
      </x:c>
      <x:c r="T6" s="34" t="n">
        <x:f>IF(Entradas!$B$15=1,Entradas!$B$14*0.00000005670374419*(((S6+273.15)^2)+((Entradas!$B$9+273.15)^2))*((S6+273.15)+(Entradas!$B$9+273.15)),0)</x:f>
        <x:v>5.314519172775382</x:v>
      </x:c>
      <x:c r="U6" s="34" t="n">
        <x:f>Entradas!$B$9+(Entradas!$B$8-Entradas!$B$9)/(1+L6*K6*(Entradas!$B$11+T6))</x:f>
        <x:v>44.980918336313785</x:v>
      </x:c>
      <x:c r="V6" s="34" t="n">
        <x:f>IF(Entradas!$B$15=1,Entradas!$B$14*0.00000005670374419*(((U6+273.15)^2)+((Entradas!$B$9+273.15)^2))*((U6+273.15)+(Entradas!$B$9+273.15)),0)</x:f>
        <x:v>5.314521510231041</x:v>
      </x:c>
      <x:c r="W6" s="34" t="n">
        <x:f>Entradas!$B$9+(Entradas!$B$8-Entradas!$B$9)/(1+L6*K6*(Entradas!$B$11+V6))</x:f>
        <x:v>44.98091622409603</x:v>
      </x:c>
      <x:c r="X6" s="34" t="n">
        <x:f>IF(Entradas!$B$15=1,Entradas!$B$14*0.00000005670374419*(((W6+273.15)^2)+((Entradas!$B$9+273.15)^2))*((W6+273.15)+(Entradas!$B$9+273.15)),0)</x:f>
        <x:v>5.314521454445056</x:v>
      </x:c>
      <x:c r="Y6" s="34" t="n">
        <x:f>Entradas!$B$9+(Entradas!$B$8-Entradas!$B$9)/(1+L6*K6*(Entradas!$B$11+X6))</x:f>
        <x:v>44.980916274506455</x:v>
      </x:c>
      <x:c r="Z6" s="34" t="n">
        <x:f>IF(Entradas!$B$15=1,Entradas!$B$14*0.00000005670374419*(((Y6+273.15)^2)+((Entradas!$B$9+273.15)^2))*((Y6+273.15)+(Entradas!$B$9+273.15)),0)</x:f>
        <x:v>5.31452145577645</x:v>
      </x:c>
      <x:c r="AA6" s="34" t="n">
        <x:f>Entradas!$B$9+(Entradas!$B$8-Entradas!$B$9)/(1+L6*K6*(Entradas!$B$11+Z6))</x:f>
        <x:v>44.98091627330335</x:v>
      </x:c>
      <x:c r="AB6" s="34" t="n">
        <x:f>IF(Entradas!$B$15=1,Entradas!$B$14*0.00000005670374419*(((AA6+273.15)^2)+((Entradas!$B$9+273.15)^2))*((AA6+273.15)+(Entradas!$B$9+273.15)),0)</x:f>
        <x:v>5.314521455744676</x:v>
      </x:c>
      <x:c r="AC6" s="34" t="n">
        <x:f>Entradas!$B$9+(Entradas!$B$8-Entradas!$B$9)/(1+L6*K6*(Entradas!$B$11+AB6))</x:f>
        <x:v>44.98091627333207</x:v>
      </x:c>
    </x:row>
    <x:row r="7" ht="26" customHeight="1">
      <x:c r="A7" s="13" t="n">
        <x:v>10</x:v>
      </x:c>
      <x:c r="B7" s="20" t="n">
        <x:f>(Entradas!$B$8-AC7)/L7</x:f>
        <x:v>262.0241598987817</x:v>
      </x:c>
      <x:c r="C7" s="20" t="n">
        <x:f>B7/Entradas!$B$5</x:f>
        <x:v>26.20241598987817</x:v>
      </x:c>
      <x:c r="D7" s="20" t="n">
        <x:f>AC7</x:f>
        <x:v>36.05917719364392</x:v>
      </x:c>
      <x:c r="E7" s="30" t="n">
        <x:f>1-B7/$B$5</x:f>
        <x:v>0.7309161436302092</x:v>
      </x:c>
      <x:c r="F7" s="32" t="n">
        <x:f>B7/1000*Entradas!$B$16/Entradas!$B$18*Entradas!$B$17</x:f>
        <x:v>924.7911525839354</x:v>
      </x:c>
      <x:c r="G7" s="32" t="n">
        <x:f>$F$5-F7</x:f>
        <x:v>2512.022802219184</x:v>
      </x:c>
      <x:c r="H7" s="20" t="n">
        <x:f>Entradas!$B$11*K7*(D7-Entradas!$B$9)</x:f>
        <x:v>173.7171491314976</x:v>
      </x:c>
      <x:c r="I7" s="20" t="n">
        <x:f>IF(Entradas!$B$15=1,Entradas!$B$14*0.00000005670374419*K7*((D7+273.15)^4-(Entradas!$B$9+273.15)^4),0)</x:f>
        <x:v>88.3070107672843</x:v>
      </x:c>
      <x:c r="J7" s="34" t="n">
        <x:f>(Entradas!$B$7+A7)/1000</x:f>
        <x:v>0.025</x:v>
      </x:c>
      <x:c r="K7" s="34" t="n">
        <x:f>2*PI()*J7*Entradas!$B$5</x:f>
        <x:v>1.5707963267948966</x:v>
      </x:c>
      <x:c r="L7" s="34" t="n">
        <x:f>1/(Entradas!$B$10*2*PI()*(Entradas!$B$6/1000)*Entradas!$B$5)+LN(Entradas!$B$7/Entradas!$B$6)/(2*PI()*Entradas!$B$12*Entradas!$B$5)+LN(J7/(Entradas!$B$7/1000))/(2*PI()*Entradas!$B$13*Entradas!$B$5)</x:f>
        <x:v>0.20586201985035685</x:v>
      </x:c>
      <x:c r="M7" s="34" t="n">
        <x:f>Entradas!$B$9+(Entradas!$B$8-Entradas!$B$9)/(1+L7*K7*Entradas!$B$11)</x:f>
        <x:v>40.35309866695022</x:v>
      </x:c>
      <x:c r="N7" s="34" t="n">
        <x:f>IF(Entradas!$B$15=1,Entradas!$B$14*0.00000005670374419*(((M7+273.15)^2)+((Entradas!$B$9+273.15)^2))*((M7+273.15)+(Entradas!$B$9+273.15)),0)</x:f>
        <x:v>5.193508107807018</x:v>
      </x:c>
      <x:c r="O7" s="34" t="n">
        <x:f>Entradas!$B$9+(Entradas!$B$8-Entradas!$B$9)/(1+L7*K7*(Entradas!$B$11+N7))</x:f>
        <x:v>35.99257216544789</x:v>
      </x:c>
      <x:c r="P7" s="34" t="n">
        <x:f>IF(Entradas!$B$15=1,Entradas!$B$14*0.00000005670374419*(((O7+273.15)^2)+((Entradas!$B$9+273.15)^2))*((O7+273.15)+(Entradas!$B$9+273.15)),0)</x:f>
        <x:v>5.081686940056138</x:v>
      </x:c>
      <x:c r="Q7" s="34" t="n">
        <x:f>Entradas!$B$9+(Entradas!$B$8-Entradas!$B$9)/(1+L7*K7*(Entradas!$B$11+P7))</x:f>
        <x:v>36.060206831069706</x:v>
      </x:c>
      <x:c r="R7" s="34" t="n">
        <x:f>IF(Entradas!$B$15=1,Entradas!$B$14*0.00000005670374419*(((Q7+273.15)^2)+((Entradas!$B$9+273.15)^2))*((Q7+273.15)+(Entradas!$B$9+273.15)),0)</x:f>
        <x:v>5.08340516023277</x:v>
      </x:c>
      <x:c r="S7" s="34" t="n">
        <x:f>Entradas!$B$9+(Entradas!$B$8-Entradas!$B$9)/(1+L7*K7*(Entradas!$B$11+R7))</x:f>
        <x:v>36.059161275777676</x:v>
      </x:c>
      <x:c r="T7" s="34" t="n">
        <x:f>IF(Entradas!$B$15=1,Entradas!$B$14*0.00000005670374419*(((S7+273.15)^2)+((Entradas!$B$9+273.15)^2))*((S7+273.15)+(Entradas!$B$9+273.15)),0)</x:f>
        <x:v>5.083378594624643</x:v>
      </x:c>
      <x:c r="U7" s="34" t="n">
        <x:f>Entradas!$B$9+(Entradas!$B$8-Entradas!$B$9)/(1+L7*K7*(Entradas!$B$11+T7))</x:f>
        <x:v>36.05917743972884</x:v>
      </x:c>
      <x:c r="V7" s="34" t="n">
        <x:f>IF(Entradas!$B$15=1,Entradas!$B$14*0.00000005670374419*(((U7+273.15)^2)+((Entradas!$B$9+273.15)^2))*((U7+273.15)+(Entradas!$B$9+273.15)),0)</x:f>
        <x:v>5.083379005319542</x:v>
      </x:c>
      <x:c r="W7" s="34" t="n">
        <x:f>Entradas!$B$9+(Entradas!$B$8-Entradas!$B$9)/(1+L7*K7*(Entradas!$B$11+V7))</x:f>
        <x:v>36.05917718983952</x:v>
      </x:c>
      <x:c r="X7" s="34" t="n">
        <x:f>IF(Entradas!$B$15=1,Entradas!$B$14*0.00000005670374419*(((W7+273.15)^2)+((Entradas!$B$9+273.15)^2))*((W7+273.15)+(Entradas!$B$9+273.15)),0)</x:f>
        <x:v>5.083378998970334</x:v>
      </x:c>
      <x:c r="Y7" s="34" t="n">
        <x:f>Entradas!$B$9+(Entradas!$B$8-Entradas!$B$9)/(1+L7*K7*(Entradas!$B$11+X7))</x:f>
        <x:v>36.05917719370272</x:v>
      </x:c>
      <x:c r="Z7" s="34" t="n">
        <x:f>IF(Entradas!$B$15=1,Entradas!$B$14*0.00000005670374419*(((Y7+273.15)^2)+((Entradas!$B$9+273.15)^2))*((Y7+273.15)+(Entradas!$B$9+273.15)),0)</x:f>
        <x:v>5.083378999068491</x:v>
      </x:c>
      <x:c r="AA7" s="34" t="n">
        <x:f>Entradas!$B$9+(Entradas!$B$8-Entradas!$B$9)/(1+L7*K7*(Entradas!$B$11+Z7))</x:f>
        <x:v>36.059177193642995</x:v>
      </x:c>
      <x:c r="AB7" s="34" t="n">
        <x:f>IF(Entradas!$B$15=1,Entradas!$B$14*0.00000005670374419*(((AA7+273.15)^2)+((Entradas!$B$9+273.15)^2))*((AA7+273.15)+(Entradas!$B$9+273.15)),0)</x:f>
        <x:v>5.083378999066974</x:v>
      </x:c>
      <x:c r="AC7" s="34" t="n">
        <x:f>Entradas!$B$9+(Entradas!$B$8-Entradas!$B$9)/(1+L7*K7*(Entradas!$B$11+AB7))</x:f>
        <x:v>36.05917719364392</x:v>
      </x:c>
    </x:row>
    <x:row r="8" ht="26" customHeight="1">
      <x:c r="A8" s="13" t="n">
        <x:v>15</x:v>
      </x:c>
      <x:c r="B8" s="20" t="n">
        <x:f>(Entradas!$B$8-AC8)/L8</x:f>
        <x:v>207.13951333904168</x:v>
      </x:c>
      <x:c r="C8" s="20" t="n">
        <x:f>B8/Entradas!$B$5</x:f>
        <x:v>20.71395133390417</x:v>
      </x:c>
      <x:c r="D8" s="20" t="n">
        <x:f>AC8</x:f>
        <x:v>32.331228019904366</x:v>
      </x:c>
      <x:c r="E8" s="30" t="n">
        <x:f>1-B8/$B$5</x:f>
        <x:v>0.7872795429346582</x:v>
      </x:c>
      <x:c r="F8" s="32" t="n">
        <x:f>B8/1000*Entradas!$B$16/Entradas!$B$18*Entradas!$B$17</x:f>
        <x:v>731.0806353142648</x:v>
      </x:c>
      <x:c r="G8" s="32" t="n">
        <x:f>$F$5-F8</x:f>
        <x:v>2705.7333194888547</x:v>
      </x:c>
      <x:c r="H8" s="20" t="n">
        <x:f>Entradas!$B$11*K8*(D8-Entradas!$B$9)</x:f>
        <x:v>138.1903925347392</x:v>
      </x:c>
      <x:c r="I8" s="20" t="n">
        <x:f>IF(Entradas!$B$15=1,Entradas!$B$14*0.00000005670374419*K8*((D8+273.15)^4-(Entradas!$B$9+273.15)^4),0)</x:f>
        <x:v>68.94912080430235</x:v>
      </x:c>
      <x:c r="J8" s="34" t="n">
        <x:f>(Entradas!$B$7+A8)/1000</x:f>
        <x:v>0.03</x:v>
      </x:c>
      <x:c r="K8" s="34" t="n">
        <x:f>2*PI()*J8*Entradas!$B$5</x:f>
        <x:v>1.8849555921538759</x:v>
      </x:c>
      <x:c r="L8" s="34" t="n">
        <x:f>1/(Entradas!$B$10*2*PI()*(Entradas!$B$6/1000)*Entradas!$B$5)+LN(Entradas!$B$7/Entradas!$B$6)/(2*PI()*Entradas!$B$12*Entradas!$B$5)+LN(J8/(Entradas!$B$7/1000))/(2*PI()*Entradas!$B$13*Entradas!$B$5)</x:f>
        <x:v>0.27840546234027586</x:v>
      </x:c>
      <x:c r="M8" s="34" t="n">
        <x:f>Entradas!$B$9+(Entradas!$B$8-Entradas!$B$9)/(1+L8*K8*Entradas!$B$11)</x:f>
        <x:v>35.4036298993058</x:v>
      </x:c>
      <x:c r="N8" s="34" t="n">
        <x:f>IF(Entradas!$B$15=1,Entradas!$B$14*0.00000005670374419*(((M8+273.15)^2)+((Entradas!$B$9+273.15)^2))*((M8+273.15)+(Entradas!$B$9+273.15)),0)</x:f>
        <x:v>5.0667466860589885</x:v>
      </x:c>
      <x:c r="O8" s="34" t="n">
        <x:f>Entradas!$B$9+(Entradas!$B$8-Entradas!$B$9)/(1+L8*K8*(Entradas!$B$11+N8))</x:f>
        <x:v>32.29783062461674</x:v>
      </x:c>
      <x:c r="P8" s="34" t="n">
        <x:f>IF(Entradas!$B$15=1,Entradas!$B$14*0.00000005670374419*(((O8+273.15)^2)+((Entradas!$B$9+273.15)^2))*((O8+273.15)+(Entradas!$B$9+273.15)),0)</x:f>
        <x:v>4.988594686056807</x:v>
      </x:c>
      <x:c r="Q8" s="34" t="n">
        <x:f>Entradas!$B$9+(Entradas!$B$8-Entradas!$B$9)/(1+L8*K8*(Entradas!$B$11+P8))</x:f>
        <x:v>32.33159024693613</x:v>
      </x:c>
      <x:c r="R8" s="34" t="n">
        <x:f>IF(Entradas!$B$15=1,Entradas!$B$14*0.00000005670374419*(((Q8+273.15)^2)+((Entradas!$B$9+273.15)^2))*((Q8+273.15)+(Entradas!$B$9+273.15)),0)</x:f>
        <x:v>4.989438459312534</x:v>
      </x:c>
      <x:c r="S8" s="34" t="n">
        <x:f>Entradas!$B$9+(Entradas!$B$8-Entradas!$B$9)/(1+L8*K8*(Entradas!$B$11+R8))</x:f>
        <x:v>32.33122409110595</x:v>
      </x:c>
      <x:c r="T8" s="34" t="n">
        <x:f>IF(Entradas!$B$15=1,Entradas!$B$14*0.00000005670374419*(((S8+273.15)^2)+((Entradas!$B$9+273.15)^2))*((S8+273.15)+(Entradas!$B$9+273.15)),0)</x:f>
        <x:v>4.989429307099961</x:v>
      </x:c>
      <x:c r="U8" s="34" t="n">
        <x:f>Entradas!$B$9+(Entradas!$B$8-Entradas!$B$9)/(1+L8*K8*(Entradas!$B$11+T8))</x:f>
        <x:v>32.33122806251701</x:v>
      </x:c>
      <x:c r="V8" s="34" t="n">
        <x:f>IF(Entradas!$B$15=1,Entradas!$B$14*0.00000005670374419*(((U8+273.15)^2)+((Entradas!$B$9+273.15)^2))*((U8+273.15)+(Entradas!$B$9+273.15)),0)</x:f>
        <x:v>4.989429406366904</x:v>
      </x:c>
      <x:c r="W8" s="34" t="n">
        <x:f>Entradas!$B$9+(Entradas!$B$8-Entradas!$B$9)/(1+L8*K8*(Entradas!$B$11+V8))</x:f>
        <x:v>32.33122801944218</x:v>
      </x:c>
      <x:c r="X8" s="34" t="n">
        <x:f>IF(Entradas!$B$15=1,Entradas!$B$14*0.00000005670374419*(((W8+273.15)^2)+((Entradas!$B$9+273.15)^2))*((W8+273.15)+(Entradas!$B$9+273.15)),0)</x:f>
        <x:v>4.989429405290231</x:v>
      </x:c>
      <x:c r="Y8" s="34" t="n">
        <x:f>Entradas!$B$9+(Entradas!$B$8-Entradas!$B$9)/(1+L8*K8*(Entradas!$B$11+X8))</x:f>
        <x:v>32.33122801990938</x:v>
      </x:c>
      <x:c r="Z8" s="34" t="n">
        <x:f>IF(Entradas!$B$15=1,Entradas!$B$14*0.00000005670374419*(((Y8+273.15)^2)+((Entradas!$B$9+273.15)^2))*((Y8+273.15)+(Entradas!$B$9+273.15)),0)</x:f>
        <x:v>4.989429405301907</x:v>
      </x:c>
      <x:c r="AA8" s="34" t="n">
        <x:f>Entradas!$B$9+(Entradas!$B$8-Entradas!$B$9)/(1+L8*K8*(Entradas!$B$11+Z8))</x:f>
        <x:v>32.331228019904316</x:v>
      </x:c>
      <x:c r="AB8" s="34" t="n">
        <x:f>IF(Entradas!$B$15=1,Entradas!$B$14*0.00000005670374419*(((AA8+273.15)^2)+((Entradas!$B$9+273.15)^2))*((AA8+273.15)+(Entradas!$B$9+273.15)),0)</x:f>
        <x:v>4.989429405301782</x:v>
      </x:c>
      <x:c r="AC8" s="34" t="n">
        <x:f>Entradas!$B$9+(Entradas!$B$8-Entradas!$B$9)/(1+L8*K8*(Entradas!$B$11+AB8))</x:f>
        <x:v>32.331228019904366</x:v>
      </x:c>
    </x:row>
    <x:row r="9" ht="26" customHeight="1">
      <x:c r="A9" s="13" t="n">
        <x:v>20</x:v>
      </x:c>
      <x:c r="B9" s="20" t="n">
        <x:f>(Entradas!$B$8-AC9)/L9</x:f>
        <x:v>175.59164296715204</x:v>
      </x:c>
      <x:c r="C9" s="20" t="n">
        <x:f>B9/Entradas!$B$5</x:f>
        <x:v>17.559164296715203</x:v>
      </x:c>
      <x:c r="D9" s="20" t="n">
        <x:f>AC9</x:f>
        <x:v>30.3444830974266</x:v>
      </x:c>
      <x:c r="E9" s="30" t="n">
        <x:f>1-B9/$B$5</x:f>
        <x:v>0.8196774051134801</x:v>
      </x:c>
      <x:c r="F9" s="32" t="n">
        <x:f>B9/1000*Entradas!$B$16/Entradas!$B$18*Entradas!$B$17</x:f>
        <x:v>619.7352104723013</x:v>
      </x:c>
      <x:c r="G9" s="32" t="n">
        <x:f>$F$5-F9</x:f>
        <x:v>2817.078744330818</x:v>
      </x:c>
      <x:c r="H9" s="20" t="n">
        <x:f>Entradas!$B$11*K9*(D9-Entradas!$B$9)</x:f>
        <x:v>117.53132185277163</x:v>
      </x:c>
      <x:c r="I9" s="20" t="n">
        <x:f>IF(Entradas!$B$15=1,Entradas!$B$14*0.00000005670374419*K9*((D9+273.15)^4-(Entradas!$B$9+273.15)^4),0)</x:f>
        <x:v>58.060321114380145</x:v>
      </x:c>
      <x:c r="J9" s="34" t="n">
        <x:f>(Entradas!$B$7+A9)/1000</x:f>
        <x:v>0.035</x:v>
      </x:c>
      <x:c r="K9" s="34" t="n">
        <x:f>2*PI()*J9*Entradas!$B$5</x:f>
        <x:v>2.1991148575128556</x:v>
      </x:c>
      <x:c r="L9" s="34" t="n">
        <x:f>1/(Entradas!$B$10*2*PI()*(Entradas!$B$6/1000)*Entradas!$B$5)+LN(Entradas!$B$7/Entradas!$B$6)/(2*PI()*Entradas!$B$12*Entradas!$B$5)+LN(J9/(Entradas!$B$7/1000))/(2*PI()*Entradas!$B$13*Entradas!$B$5)</x:f>
        <x:v>0.33974006902898657</x:v>
      </x:c>
      <x:c r="M9" s="34" t="n">
        <x:f>Entradas!$B$9+(Entradas!$B$8-Entradas!$B$9)/(1+L9*K9*Entradas!$B$11)</x:f>
        <x:v>32.67298961525765</x:v>
      </x:c>
      <x:c r="N9" s="34" t="n">
        <x:f>IF(Entradas!$B$15=1,Entradas!$B$14*0.00000005670374419*(((M9+273.15)^2)+((Entradas!$B$9+273.15)^2))*((M9+273.15)+(Entradas!$B$9+273.15)),0)</x:f>
        <x:v>4.997978304660641</x:v>
      </x:c>
      <x:c r="O9" s="34" t="n">
        <x:f>Entradas!$B$9+(Entradas!$B$8-Entradas!$B$9)/(1+L9*K9*(Entradas!$B$11+N9))</x:f>
        <x:v>30.32551120571192</x:v>
      </x:c>
      <x:c r="P9" s="34" t="n">
        <x:f>IF(Entradas!$B$15=1,Entradas!$B$14*0.00000005670374419*(((O9+273.15)^2)+((Entradas!$B$9+273.15)^2))*((O9+273.15)+(Entradas!$B$9+273.15)),0)</x:f>
        <x:v>4.939517030760173</x:v>
      </x:c>
      <x:c r="Q9" s="34" t="n">
        <x:f>Entradas!$B$9+(Entradas!$B$8-Entradas!$B$9)/(1+L9*K9*(Entradas!$B$11+P9))</x:f>
        <x:v>30.344637425966155</x:v>
      </x:c>
      <x:c r="R9" s="34" t="n">
        <x:f>IF(Entradas!$B$15=1,Entradas!$B$14*0.00000005670374419*(((Q9+273.15)^2)+((Entradas!$B$9+273.15)^2))*((Q9+273.15)+(Entradas!$B$9+273.15)),0)</x:f>
        <x:v>4.9399909012097725</x:v>
      </x:c>
      <x:c r="S9" s="34" t="n">
        <x:f>Entradas!$B$9+(Entradas!$B$8-Entradas!$B$9)/(1+L9*K9*(Entradas!$B$11+R9))</x:f>
        <x:v>30.34448184201079</x:v>
      </x:c>
      <x:c r="T9" s="34" t="n">
        <x:f>IF(Entradas!$B$15=1,Entradas!$B$14*0.00000005670374419*(((S9+273.15)^2)+((Entradas!$B$9+273.15)^2))*((S9+273.15)+(Entradas!$B$9+273.15)),0)</x:f>
        <x:v>4.939987046306247</x:v>
      </x:c>
      <x:c r="U9" s="34" t="n">
        <x:f>Entradas!$B$9+(Entradas!$B$8-Entradas!$B$9)/(1+L9*K9*(Entradas!$B$11+T9))</x:f>
        <x:v>30.344483107639025</x:v>
      </x:c>
      <x:c r="V9" s="34" t="n">
        <x:f>IF(Entradas!$B$15=1,Entradas!$B$14*0.00000005670374419*(((U9+273.15)^2)+((Entradas!$B$9+273.15)^2))*((U9+273.15)+(Entradas!$B$9+273.15)),0)</x:f>
        <x:v>4.939987077664706</x:v>
      </x:c>
      <x:c r="W9" s="34" t="n">
        <x:f>Entradas!$B$9+(Entradas!$B$8-Entradas!$B$9)/(1+L9*K9*(Entradas!$B$11+V9))</x:f>
        <x:v>30.344483097343527</x:v>
      </x:c>
      <x:c r="X9" s="34" t="n">
        <x:f>IF(Entradas!$B$15=1,Entradas!$B$14*0.00000005670374419*(((W9+273.15)^2)+((Entradas!$B$9+273.15)^2))*((W9+273.15)+(Entradas!$B$9+273.15)),0)</x:f>
        <x:v>4.939987077409615</x:v>
      </x:c>
      <x:c r="Y9" s="34" t="n">
        <x:f>Entradas!$B$9+(Entradas!$B$8-Entradas!$B$9)/(1+L9*K9*(Entradas!$B$11+X9))</x:f>
        <x:v>30.344483097427275</x:v>
      </x:c>
      <x:c r="Z9" s="34" t="n">
        <x:f>IF(Entradas!$B$15=1,Entradas!$B$14*0.00000005670374419*(((Y9+273.15)^2)+((Entradas!$B$9+273.15)^2))*((Y9+273.15)+(Entradas!$B$9+273.15)),0)</x:f>
        <x:v>4.939987077411689</x:v>
      </x:c>
      <x:c r="AA9" s="34" t="n">
        <x:f>Entradas!$B$9+(Entradas!$B$8-Entradas!$B$9)/(1+L9*K9*(Entradas!$B$11+Z9))</x:f>
        <x:v>30.344483097426597</x:v>
      </x:c>
      <x:c r="AB9" s="34" t="n">
        <x:f>IF(Entradas!$B$15=1,Entradas!$B$14*0.00000005670374419*(((AA9+273.15)^2)+((Entradas!$B$9+273.15)^2))*((AA9+273.15)+(Entradas!$B$9+273.15)),0)</x:f>
        <x:v>4.939987077411672</x:v>
      </x:c>
      <x:c r="AC9" s="34" t="n">
        <x:f>Entradas!$B$9+(Entradas!$B$8-Entradas!$B$9)/(1+L9*K9*(Entradas!$B$11+AB9))</x:f>
        <x:v>30.3444830974266</x:v>
      </x:c>
    </x:row>
    <x:row r="10" ht="26" customHeight="1">
      <x:c r="A10" s="13" t="n">
        <x:v>25</x:v>
      </x:c>
      <x:c r="B10" s="20" t="n">
        <x:f>(Entradas!$B$8-AC10)/L10</x:f>
        <x:v>154.92556770170134</x:v>
      </x:c>
      <x:c r="C10" s="20" t="n">
        <x:f>B10/Entradas!$B$5</x:f>
        <x:v>15.492556770170134</x:v>
      </x:c>
      <x:c r="D10" s="20" t="n">
        <x:f>AC10</x:f>
        <x:v>29.134311343666134</x:v>
      </x:c>
      <x:c r="E10" s="30" t="n">
        <x:f>1-B10/$B$5</x:f>
        <x:v>0.8409002848303885</x:v>
      </x:c>
      <x:c r="F10" s="32" t="n">
        <x:f>B10/1000*Entradas!$B$16/Entradas!$B$18*Entradas!$B$17</x:f>
        <x:v>546.7961213001224</x:v>
      </x:c>
      <x:c r="G10" s="32" t="n">
        <x:f>$F$5-F10</x:f>
        <x:v>2890.017833502997</x:v>
      </x:c>
      <x:c r="H10" s="20" t="n">
        <x:f>Entradas!$B$11*K10*(D10-Entradas!$B$9)</x:f>
        <x:v>103.90657715931579</x:v>
      </x:c>
      <x:c r="I10" s="20" t="n">
        <x:f>IF(Entradas!$B$15=1,Entradas!$B$14*0.00000005670374419*K10*((D10+273.15)^4-(Entradas!$B$9+273.15)^4),0)</x:f>
        <x:v>51.018990542385495</x:v>
      </x:c>
      <x:c r="J10" s="34" t="n">
        <x:f>(Entradas!$B$7+A10)/1000</x:f>
        <x:v>0.04</x:v>
      </x:c>
      <x:c r="K10" s="34" t="n">
        <x:f>2*PI()*J10*Entradas!$B$5</x:f>
        <x:v>2.5132741228718345</x:v>
      </x:c>
      <x:c r="L10" s="34" t="n">
        <x:f>1/(Entradas!$B$10*2*PI()*(Entradas!$B$6/1000)*Entradas!$B$5)+LN(Entradas!$B$7/Entradas!$B$6)/(2*PI()*Entradas!$B$12*Entradas!$B$5)+LN(J10/(Entradas!$B$7/1000))/(2*PI()*Entradas!$B$13*Entradas!$B$5)</x:f>
        <x:v>0.3928705220143302</x:v>
      </x:c>
      <x:c r="M10" s="34" t="n">
        <x:f>Entradas!$B$9+(Entradas!$B$8-Entradas!$B$9)/(1+L10*K10*Entradas!$B$11)</x:f>
        <x:v>30.977608888967104</x:v>
      </x:c>
      <x:c r="N10" s="34" t="n">
        <x:f>IF(Entradas!$B$15=1,Entradas!$B$14*0.00000005670374419*(((M10+273.15)^2)+((Entradas!$B$9+273.15)^2))*((M10+273.15)+(Entradas!$B$9+273.15)),0)</x:f>
        <x:v>4.955696018199034</x:v>
      </x:c>
      <x:c r="O10" s="34" t="n">
        <x:f>Entradas!$B$9+(Entradas!$B$8-Entradas!$B$9)/(1+L10*K10*(Entradas!$B$11+N10))</x:f>
        <x:v>29.12250188580895</x:v>
      </x:c>
      <x:c r="P10" s="34" t="n">
        <x:f>IF(Entradas!$B$15=1,Entradas!$B$14*0.00000005670374419*(((O10+273.15)^2)+((Entradas!$B$9+273.15)^2))*((O10+273.15)+(Entradas!$B$9+273.15)),0)</x:f>
        <x:v>4.9097918475877655</x:v>
      </x:c>
      <x:c r="Q10" s="34" t="n">
        <x:f>Entradas!$B$9+(Entradas!$B$8-Entradas!$B$9)/(1+L10*K10*(Entradas!$B$11+P10))</x:f>
        <x:v>29.134386910051838</x:v>
      </x:c>
      <x:c r="R10" s="34" t="n">
        <x:f>IF(Entradas!$B$15=1,Entradas!$B$14*0.00000005670374419*(((Q10+273.15)^2)+((Entradas!$B$9+273.15)^2))*((Q10+273.15)+(Entradas!$B$9+273.15)),0)</x:f>
        <x:v>4.910084740317567</x:v>
      </x:c>
      <x:c r="S10" s="34" t="n">
        <x:f>Entradas!$B$9+(Entradas!$B$8-Entradas!$B$9)/(1+L10*K10*(Entradas!$B$11+R10))</x:f>
        <x:v>29.13431086012792</x:v>
      </x:c>
      <x:c r="T10" s="34" t="n">
        <x:f>IF(Entradas!$B$15=1,Entradas!$B$14*0.00000005670374419*(((S10+273.15)^2)+((Entradas!$B$9+273.15)^2))*((S10+273.15)+(Entradas!$B$9+273.15)),0)</x:f>
        <x:v>4.910082866105718</x:v>
      </x:c>
      <x:c r="U10" s="34" t="n">
        <x:f>Entradas!$B$9+(Entradas!$B$8-Entradas!$B$9)/(1+L10*K10*(Entradas!$B$11+T10))</x:f>
        <x:v>29.13431134676022</x:v>
      </x:c>
      <x:c r="V10" s="34" t="n">
        <x:f>IF(Entradas!$B$15=1,Entradas!$B$14*0.00000005670374419*(((U10+273.15)^2)+((Entradas!$B$9+273.15)^2))*((U10+273.15)+(Entradas!$B$9+273.15)),0)</x:f>
        <x:v>4.910082878098522</x:v>
      </x:c>
      <x:c r="W10" s="34" t="n">
        <x:f>Entradas!$B$9+(Entradas!$B$8-Entradas!$B$9)/(1+L10*K10*(Entradas!$B$11+V10))</x:f>
        <x:v>29.134311343646335</x:v>
      </x:c>
      <x:c r="X10" s="34" t="n">
        <x:f>IF(Entradas!$B$15=1,Entradas!$B$14*0.00000005670374419*(((W10+273.15)^2)+((Entradas!$B$9+273.15)^2))*((W10+273.15)+(Entradas!$B$9+273.15)),0)</x:f>
        <x:v>4.910082878021782</x:v>
      </x:c>
      <x:c r="Y10" s="34" t="n">
        <x:f>Entradas!$B$9+(Entradas!$B$8-Entradas!$B$9)/(1+L10*K10*(Entradas!$B$11+X10))</x:f>
        <x:v>29.13431134366626</x:v>
      </x:c>
      <x:c r="Z10" s="34" t="n">
        <x:f>IF(Entradas!$B$15=1,Entradas!$B$14*0.00000005670374419*(((Y10+273.15)^2)+((Entradas!$B$9+273.15)^2))*((Y10+273.15)+(Entradas!$B$9+273.15)),0)</x:f>
        <x:v>4.910082878022272</x:v>
      </x:c>
      <x:c r="AA10" s="34" t="n">
        <x:f>Entradas!$B$9+(Entradas!$B$8-Entradas!$B$9)/(1+L10*K10*(Entradas!$B$11+Z10))</x:f>
        <x:v>29.13431134366613</x:v>
      </x:c>
      <x:c r="AB10" s="34" t="n">
        <x:f>IF(Entradas!$B$15=1,Entradas!$B$14*0.00000005670374419*(((AA10+273.15)^2)+((Entradas!$B$9+273.15)^2))*((AA10+273.15)+(Entradas!$B$9+273.15)),0)</x:f>
        <x:v>4.91008287802227</x:v>
      </x:c>
      <x:c r="AC10" s="34" t="n">
        <x:f>Entradas!$B$9+(Entradas!$B$8-Entradas!$B$9)/(1+L10*K10*(Entradas!$B$11+AB10))</x:f>
        <x:v>29.134311343666134</x:v>
      </x:c>
    </x:row>
    <x:row r="11" ht="26" customHeight="1">
      <x:c r="A11" s="13" t="n">
        <x:v>30</x:v>
      </x:c>
      <x:c r="B11" s="20" t="n">
        <x:f>(Entradas!$B$8-AC11)/L11</x:f>
        <x:v>140.2412320763445</x:v>
      </x:c>
      <x:c r="C11" s="20" t="n">
        <x:f>B11/Entradas!$B$5</x:f>
        <x:v>14.02412320763445</x:v>
      </x:c>
      <x:c r="D11" s="20" t="n">
        <x:f>AC11</x:f>
        <x:v>28.331035436357602</x:v>
      </x:c>
      <x:c r="E11" s="30" t="n">
        <x:f>1-B11/$B$5</x:f>
        <x:v>0.8559802593633693</x:v>
      </x:c>
      <x:c r="F11" s="32" t="n">
        <x:f>B11/1000*Entradas!$B$16/Entradas!$B$18*Entradas!$B$17</x:f>
        <x:v>494.96905438709814</x:v>
      </x:c>
      <x:c r="G11" s="32" t="n">
        <x:f>$F$5-F11</x:f>
        <x:v>2941.844900416021</x:v>
      </x:c>
      <x:c r="H11" s="20" t="n">
        <x:f>Entradas!$B$11*K11*(D11-Entradas!$B$9)</x:f>
        <x:v>94.18280810137483</x:v>
      </x:c>
      <x:c r="I11" s="20" t="n">
        <x:f>IF(Entradas!$B$15=1,Entradas!$B$14*0.00000005670374419*K11*((D11+273.15)^4-(Entradas!$B$9+273.15)^4),0)</x:f>
        <x:v>46.058423974969344</x:v>
      </x:c>
      <x:c r="J11" s="34" t="n">
        <x:f>(Entradas!$B$7+A11)/1000</x:f>
        <x:v>0.045</x:v>
      </x:c>
      <x:c r="K11" s="34" t="n">
        <x:f>2*PI()*J11*Entradas!$B$5</x:f>
        <x:v>2.827433388230814</x:v>
      </x:c>
      <x:c r="L11" s="34" t="n">
        <x:f>1/(Entradas!$B$10*2*PI()*(Entradas!$B$6/1000)*Entradas!$B$5)+LN(Entradas!$B$7/Entradas!$B$6)/(2*PI()*Entradas!$B$12*Entradas!$B$5)+LN(J11/(Entradas!$B$7/1000))/(2*PI()*Entradas!$B$13*Entradas!$B$5)</x:f>
        <x:v>0.4397349028570361</x:v>
      </x:c>
      <x:c r="M11" s="34" t="n">
        <x:f>Entradas!$B$9+(Entradas!$B$8-Entradas!$B$9)/(1+L11*K11*Entradas!$B$11)</x:f>
        <x:v>29.838753575690117</x:v>
      </x:c>
      <x:c r="N11" s="34" t="n">
        <x:f>IF(Entradas!$B$15=1,Entradas!$B$14*0.00000005670374419*(((M11+273.15)^2)+((Entradas!$B$9+273.15)^2))*((M11+273.15)+(Entradas!$B$9+273.15)),0)</x:f>
        <x:v>4.927470638610004</x:v>
      </x:c>
      <x:c r="O11" s="34" t="n">
        <x:f>Entradas!$B$9+(Entradas!$B$8-Entradas!$B$9)/(1+L11*K11*(Entradas!$B$11+N11))</x:f>
        <x:v>28.32316956307839</x:v>
      </x:c>
      <x:c r="P11" s="34" t="n">
        <x:f>IF(Entradas!$B$15=1,Entradas!$B$14*0.00000005670374419*(((O11+273.15)^2)+((Entradas!$B$9+273.15)^2))*((O11+273.15)+(Entradas!$B$9+273.15)),0)</x:f>
        <x:v>4.890128644150509</x:v>
      </x:c>
      <x:c r="Q11" s="34" t="n">
        <x:f>Entradas!$B$9+(Entradas!$B$8-Entradas!$B$9)/(1+L11*K11*(Entradas!$B$11+P11))</x:f>
        <x:v>28.33107643261557</x:v>
      </x:c>
      <x:c r="R11" s="34" t="n">
        <x:f>IF(Entradas!$B$15=1,Entradas!$B$14*0.00000005670374419*(((Q11+273.15)^2)+((Entradas!$B$9+273.15)^2))*((Q11+273.15)+(Entradas!$B$9+273.15)),0)</x:f>
        <x:v>4.890322807864257</x:v>
      </x:c>
      <x:c r="S11" s="34" t="n">
        <x:f>Entradas!$B$9+(Entradas!$B$8-Entradas!$B$9)/(1+L11*K11*(Entradas!$B$11+R11))</x:f>
        <x:v>28.331035222687508</x:v>
      </x:c>
      <x:c r="T11" s="34" t="n">
        <x:f>IF(Entradas!$B$15=1,Entradas!$B$14*0.00000005670374419*(((S11+273.15)^2)+((Entradas!$B$9+273.15)^2))*((S11+273.15)+(Entradas!$B$9+273.15)),0)</x:f>
        <x:v>4.8903217958818965</x:v>
      </x:c>
      <x:c r="U11" s="34" t="n">
        <x:f>Entradas!$B$9+(Entradas!$B$8-Entradas!$B$9)/(1+L11*K11*(Entradas!$B$11+T11))</x:f>
        <x:v>28.33103543747124</x:v>
      </x:c>
      <x:c r="V11" s="34" t="n">
        <x:f>IF(Entradas!$B$15=1,Entradas!$B$14*0.00000005670374419*(((U11+273.15)^2)+((Entradas!$B$9+273.15)^2))*((U11+273.15)+(Entradas!$B$9+273.15)),0)</x:f>
        <x:v>4.89032180115629</x:v>
      </x:c>
      <x:c r="W11" s="34" t="n">
        <x:f>Entradas!$B$9+(Entradas!$B$8-Entradas!$B$9)/(1+L11*K11*(Entradas!$B$11+V11))</x:f>
        <x:v>28.331035436351797</x:v>
      </x:c>
      <x:c r="X11" s="34" t="n">
        <x:f>IF(Entradas!$B$15=1,Entradas!$B$14*0.00000005670374419*(((W11+273.15)^2)+((Entradas!$B$9+273.15)^2))*((W11+273.15)+(Entradas!$B$9+273.15)),0)</x:f>
        <x:v>4.890321801128799</x:v>
      </x:c>
      <x:c r="Y11" s="34" t="n">
        <x:f>Entradas!$B$9+(Entradas!$B$8-Entradas!$B$9)/(1+L11*K11*(Entradas!$B$11+X11))</x:f>
        <x:v>28.33103543635763</x:v>
      </x:c>
      <x:c r="Z11" s="34" t="n">
        <x:f>IF(Entradas!$B$15=1,Entradas!$B$14*0.00000005670374419*(((Y11+273.15)^2)+((Entradas!$B$9+273.15)^2))*((Y11+273.15)+(Entradas!$B$9+273.15)),0)</x:f>
        <x:v>4.890321801128942</x:v>
      </x:c>
      <x:c r="AA11" s="34" t="n">
        <x:f>Entradas!$B$9+(Entradas!$B$8-Entradas!$B$9)/(1+L11*K11*(Entradas!$B$11+Z11))</x:f>
        <x:v>28.331035436357602</x:v>
      </x:c>
      <x:c r="AB11" s="34" t="n">
        <x:f>IF(Entradas!$B$15=1,Entradas!$B$14*0.00000005670374419*(((AA11+273.15)^2)+((Entradas!$B$9+273.15)^2))*((AA11+273.15)+(Entradas!$B$9+273.15)),0)</x:f>
        <x:v>4.890321801128941</x:v>
      </x:c>
      <x:c r="AC11" s="34" t="n">
        <x:f>Entradas!$B$9+(Entradas!$B$8-Entradas!$B$9)/(1+L11*K11*(Entradas!$B$11+AB11))</x:f>
        <x:v>28.331035436357602</x:v>
      </x:c>
    </x:row>
    <x:row r="12" ht="26" customHeight="1">
      <x:c r="A12" s="13" t="n">
        <x:v>35</x:v>
      </x:c>
      <x:c r="B12" s="20" t="n">
        <x:f>(Entradas!$B$8-AC12)/L12</x:f>
        <x:v>129.21092345010146</x:v>
      </x:c>
      <x:c r="C12" s="20" t="n">
        <x:f>B12/Entradas!$B$5</x:f>
        <x:v>12.921092345010146</x:v>
      </x:c>
      <x:c r="D12" s="20" t="n">
        <x:f>AC12</x:f>
        <x:v>27.764716259717936</x:v>
      </x:c>
      <x:c r="E12" s="30" t="n">
        <x:f>1-B12/$B$5</x:f>
        <x:v>0.8673077567332492</x:v>
      </x:c>
      <x:c r="F12" s="32" t="n">
        <x:f>B12/1000*Entradas!$B$16/Entradas!$B$18*Entradas!$B$17</x:f>
        <x:v>456.0385533532992</x:v>
      </x:c>
      <x:c r="G12" s="32" t="n">
        <x:f>$F$5-F12</x:f>
        <x:v>2980.7754014498205</x:v>
      </x:c>
      <x:c r="H12" s="20" t="n">
        <x:f>Entradas!$B$11*K12*(D12-Entradas!$B$9)</x:f>
        <x:v>86.85612290790118</x:v>
      </x:c>
      <x:c r="I12" s="20" t="n">
        <x:f>IF(Entradas!$B$15=1,Entradas!$B$14*0.00000005670374419*K12*((D12+273.15)^4-(Entradas!$B$9+273.15)^4),0)</x:f>
        <x:v>42.35480054220031</x:v>
      </x:c>
      <x:c r="J12" s="34" t="n">
        <x:f>(Entradas!$B$7+A12)/1000</x:f>
        <x:v>0.05</x:v>
      </x:c>
      <x:c r="K12" s="34" t="n">
        <x:f>2*PI()*J12*Entradas!$B$5</x:f>
        <x:v>3.141592653589793</x:v>
      </x:c>
      <x:c r="L12" s="34" t="n">
        <x:f>1/(Entradas!$B$10*2*PI()*(Entradas!$B$6/1000)*Entradas!$B$5)+LN(Entradas!$B$7/Entradas!$B$6)/(2*PI()*Entradas!$B$12*Entradas!$B$5)+LN(J12/(Entradas!$B$7/1000))/(2*PI()*Entradas!$B$13*Entradas!$B$5)</x:f>
        <x:v>0.48165652004117143</x:v>
      </x:c>
      <x:c r="M12" s="34" t="n">
        <x:f>Entradas!$B$9+(Entradas!$B$8-Entradas!$B$9)/(1+L12*K12*Entradas!$B$11)</x:f>
        <x:v>29.029337082796353</x:v>
      </x:c>
      <x:c r="N12" s="34" t="n">
        <x:f>IF(Entradas!$B$15=1,Entradas!$B$14*0.00000005670374419*(((M12+273.15)^2)+((Entradas!$B$9+273.15)^2))*((M12+273.15)+(Entradas!$B$9+273.15)),0)</x:f>
        <x:v>4.907496443279692</x:v>
      </x:c>
      <x:c r="O12" s="34" t="n">
        <x:f>Entradas!$B$9+(Entradas!$B$8-Entradas!$B$9)/(1+L12*K12*(Entradas!$B$11+N12))</x:f>
        <x:v>27.759199720793582</x:v>
      </x:c>
      <x:c r="P12" s="34" t="n">
        <x:f>IF(Entradas!$B$15=1,Entradas!$B$14*0.00000005670374419*(((O12+273.15)^2)+((Entradas!$B$9+273.15)^2))*((O12+273.15)+(Entradas!$B$9+273.15)),0)</x:f>
        <x:v>4.8762971995351725</x:v>
      </x:c>
      <x:c r="Q12" s="34" t="n">
        <x:f>Entradas!$B$9+(Entradas!$B$8-Entradas!$B$9)/(1+L12*K12*(Entradas!$B$11+P12))</x:f>
        <x:v>27.764740304337582</x:v>
      </x:c>
      <x:c r="R12" s="34" t="n">
        <x:f>IF(Entradas!$B$15=1,Entradas!$B$14*0.00000005670374419*(((Q12+273.15)^2)+((Entradas!$B$9+273.15)^2))*((Q12+273.15)+(Entradas!$B$9+273.15)),0)</x:f>
        <x:v>4.876432914545979</x:v>
      </x:c>
      <x:c r="S12" s="34" t="n">
        <x:f>Entradas!$B$9+(Entradas!$B$8-Entradas!$B$9)/(1+L12*K12*(Entradas!$B$11+R12))</x:f>
        <x:v>27.764716154915668</x:v>
      </x:c>
      <x:c r="T12" s="34" t="n">
        <x:f>IF(Entradas!$B$15=1,Entradas!$B$14*0.00000005670374419*(((S12+273.15)^2)+((Entradas!$B$9+273.15)^2))*((S12+273.15)+(Entradas!$B$9+273.15)),0)</x:f>
        <x:v>4.876432323005532</x:v>
      </x:c>
      <x:c r="U12" s="34" t="n">
        <x:f>Entradas!$B$9+(Entradas!$B$8-Entradas!$B$9)/(1+L12*K12*(Entradas!$B$11+T12))</x:f>
        <x:v>27.764716260174737</x:v>
      </x:c>
      <x:c r="V12" s="34" t="n">
        <x:f>IF(Entradas!$B$15=1,Entradas!$B$14*0.00000005670374419*(((U12+273.15)^2)+((Entradas!$B$9+273.15)^2))*((U12+273.15)+(Entradas!$B$9+273.15)),0)</x:f>
        <x:v>4.8764323255838535</x:v>
      </x:c>
      <x:c r="W12" s="34" t="n">
        <x:f>Entradas!$B$9+(Entradas!$B$8-Entradas!$B$9)/(1+L12*K12*(Entradas!$B$11+V12))</x:f>
        <x:v>27.764716259715946</x:v>
      </x:c>
      <x:c r="X12" s="34" t="n">
        <x:f>IF(Entradas!$B$15=1,Entradas!$B$14*0.00000005670374419*(((W12+273.15)^2)+((Entradas!$B$9+273.15)^2))*((W12+273.15)+(Entradas!$B$9+273.15)),0)</x:f>
        <x:v>4.876432325572615</x:v>
      </x:c>
      <x:c r="Y12" s="34" t="n">
        <x:f>Entradas!$B$9+(Entradas!$B$8-Entradas!$B$9)/(1+L12*K12*(Entradas!$B$11+X12))</x:f>
        <x:v>27.764716259717947</x:v>
      </x:c>
      <x:c r="Z12" s="34" t="n">
        <x:f>IF(Entradas!$B$15=1,Entradas!$B$14*0.00000005670374419*(((Y12+273.15)^2)+((Entradas!$B$9+273.15)^2))*((Y12+273.15)+(Entradas!$B$9+273.15)),0)</x:f>
        <x:v>4.876432325572665</x:v>
      </x:c>
      <x:c r="AA12" s="34" t="n">
        <x:f>Entradas!$B$9+(Entradas!$B$8-Entradas!$B$9)/(1+L12*K12*(Entradas!$B$11+Z12))</x:f>
        <x:v>27.764716259717936</x:v>
      </x:c>
      <x:c r="AB12" s="34" t="n">
        <x:f>IF(Entradas!$B$15=1,Entradas!$B$14*0.00000005670374419*(((AA12+273.15)^2)+((Entradas!$B$9+273.15)^2))*((AA12+273.15)+(Entradas!$B$9+273.15)),0)</x:f>
        <x:v>4.876432325572665</x:v>
      </x:c>
      <x:c r="AC12" s="34" t="n">
        <x:f>Entradas!$B$9+(Entradas!$B$8-Entradas!$B$9)/(1+L12*K12*(Entradas!$B$11+AB12))</x:f>
        <x:v>27.764716259717936</x:v>
      </x:c>
    </x:row>
    <x:row r="13" ht="26" customHeight="1">
      <x:c r="A13" s="13" t="n">
        <x:v>40</x:v>
      </x:c>
      <x:c r="B13" s="20" t="n">
        <x:f>(Entradas!$B$8-AC13)/L13</x:f>
        <x:v>120.58376917835992</x:v>
      </x:c>
      <x:c r="C13" s="20" t="n">
        <x:f>B13/Entradas!$B$5</x:f>
        <x:v>12.058376917835991</x:v>
      </x:c>
      <x:c r="D13" s="20" t="n">
        <x:f>AC13</x:f>
        <x:v>27.347177378721494</x:v>
      </x:c>
      <x:c r="E13" s="30" t="n">
        <x:f>1-B13/$B$5</x:f>
        <x:v>0.8761673517485871</x:v>
      </x:c>
      <x:c r="F13" s="32" t="n">
        <x:f>B13/1000*Entradas!$B$16/Entradas!$B$18*Entradas!$B$17</x:f>
        <x:v>425.58977357068204</x:v>
      </x:c>
      <x:c r="G13" s="32" t="n">
        <x:f>$F$5-F13</x:f>
        <x:v>3011.2241812324373</x:v>
      </x:c>
      <x:c r="H13" s="20" t="n">
        <x:f>Entradas!$B$11*K13*(D13-Entradas!$B$9)</x:f>
        <x:v>81.1126273062995</x:v>
      </x:c>
      <x:c r="I13" s="20" t="n">
        <x:f>IF(Entradas!$B$15=1,Entradas!$B$14*0.00000005670374419*K13*((D13+273.15)^4-(Entradas!$B$9+273.15)^4),0)</x:f>
        <x:v>39.471141872060095</x:v>
      </x:c>
      <x:c r="J13" s="34" t="n">
        <x:f>(Entradas!$B$7+A13)/1000</x:f>
        <x:v>0.055</x:v>
      </x:c>
      <x:c r="K13" s="34" t="n">
        <x:f>2*PI()*J13*Entradas!$B$5</x:f>
        <x:v>3.4557519189487724</x:v>
      </x:c>
      <x:c r="L13" s="34" t="n">
        <x:f>1/(Entradas!$B$10*2*PI()*(Entradas!$B$6/1000)*Entradas!$B$5)+LN(Entradas!$B$7/Entradas!$B$6)/(2*PI()*Entradas!$B$12*Entradas!$B$5)+LN(J13/(Entradas!$B$7/1000))/(2*PI()*Entradas!$B$13*Entradas!$B$5)</x:f>
        <x:v>0.5195792356482604</x:v>
      </x:c>
      <x:c r="M13" s="34" t="n">
        <x:f>Entradas!$B$9+(Entradas!$B$8-Entradas!$B$9)/(1+L13*K13*Entradas!$B$11)</x:f>
        <x:v>28.42910753182908</x:v>
      </x:c>
      <x:c r="N13" s="34" t="n">
        <x:f>IF(Entradas!$B$15=1,Entradas!$B$14*0.00000005670374419*(((M13+273.15)^2)+((Entradas!$B$9+273.15)^2))*((M13+273.15)+(Entradas!$B$9+273.15)),0)</x:f>
        <x:v>4.892730658676255</x:v>
      </x:c>
      <x:c r="O13" s="34" t="n">
        <x:f>Entradas!$B$9+(Entradas!$B$8-Entradas!$B$9)/(1+L13*K13*(Entradas!$B$11+N13))</x:f>
        <x:v>27.34314888841942</x:v>
      </x:c>
      <x:c r="P13" s="34" t="n">
        <x:f>IF(Entradas!$B$15=1,Entradas!$B$14*0.00000005670374419*(((O13+273.15)^2)+((Entradas!$B$9+273.15)^2))*((O13+273.15)+(Entradas!$B$9+273.15)),0)</x:f>
        <x:v>4.8661157051821045</x:v>
      </x:c>
      <x:c r="Q13" s="34" t="n">
        <x:f>Entradas!$B$9+(Entradas!$B$8-Entradas!$B$9)/(1+L13*K13*(Entradas!$B$11+P13))</x:f>
        <x:v>27.3471923681405</x:v>
      </x:c>
      <x:c r="R13" s="34" t="n">
        <x:f>IF(Entradas!$B$15=1,Entradas!$B$14*0.00000005670374419*(((Q13+273.15)^2)+((Entradas!$B$9+273.15)^2))*((Q13+273.15)+(Entradas!$B$9+273.15)),0)</x:f>
        <x:v>4.866214565539891</x:v>
      </x:c>
      <x:c r="S13" s="34" t="n">
        <x:f>Entradas!$B$9+(Entradas!$B$8-Entradas!$B$9)/(1+L13*K13*(Entradas!$B$11+R13))</x:f>
        <x:v>27.347177322947932</x:v>
      </x:c>
      <x:c r="T13" s="34" t="n">
        <x:f>IF(Entradas!$B$15=1,Entradas!$B$14*0.00000005670374419*(((S13+273.15)^2)+((Entradas!$B$9+273.15)^2))*((S13+273.15)+(Entradas!$B$9+273.15)),0)</x:f>
        <x:v>4.866214197691761</x:v>
      </x:c>
      <x:c r="U13" s="34" t="n">
        <x:f>Entradas!$B$9+(Entradas!$B$8-Entradas!$B$9)/(1+L13*K13*(Entradas!$B$11+T13))</x:f>
        <x:v>27.347177378929022</x:v>
      </x:c>
      <x:c r="V13" s="34" t="n">
        <x:f>IF(Entradas!$B$15=1,Entradas!$B$14*0.00000005670374419*(((U13+273.15)^2)+((Entradas!$B$9+273.15)^2))*((U13+273.15)+(Entradas!$B$9+273.15)),0)</x:f>
        <x:v>4.866214199060473</x:v>
      </x:c>
      <x:c r="W13" s="34" t="n">
        <x:f>Entradas!$B$9+(Entradas!$B$8-Entradas!$B$9)/(1+L13*K13*(Entradas!$B$11+V13))</x:f>
        <x:v>27.347177378720723</x:v>
      </x:c>
      <x:c r="X13" s="34" t="n">
        <x:f>IF(Entradas!$B$15=1,Entradas!$B$14*0.00000005670374419*(((W13+273.15)^2)+((Entradas!$B$9+273.15)^2))*((W13+273.15)+(Entradas!$B$9+273.15)),0)</x:f>
        <x:v>4.86621419905538</x:v>
      </x:c>
      <x:c r="Y13" s="34" t="n">
        <x:f>Entradas!$B$9+(Entradas!$B$8-Entradas!$B$9)/(1+L13*K13*(Entradas!$B$11+X13))</x:f>
        <x:v>27.347177378721497</x:v>
      </x:c>
      <x:c r="Z13" s="34" t="n">
        <x:f>IF(Entradas!$B$15=1,Entradas!$B$14*0.00000005670374419*(((Y13+273.15)^2)+((Entradas!$B$9+273.15)^2))*((Y13+273.15)+(Entradas!$B$9+273.15)),0)</x:f>
        <x:v>4.866214199055398</x:v>
      </x:c>
      <x:c r="AA13" s="34" t="n">
        <x:f>Entradas!$B$9+(Entradas!$B$8-Entradas!$B$9)/(1+L13*K13*(Entradas!$B$11+Z13))</x:f>
        <x:v>27.347177378721494</x:v>
      </x:c>
      <x:c r="AB13" s="34" t="n">
        <x:f>IF(Entradas!$B$15=1,Entradas!$B$14*0.00000005670374419*(((AA13+273.15)^2)+((Entradas!$B$9+273.15)^2))*((AA13+273.15)+(Entradas!$B$9+273.15)),0)</x:f>
        <x:v>4.866214199055398</x:v>
      </x:c>
      <x:c r="AC13" s="34" t="n">
        <x:f>Entradas!$B$9+(Entradas!$B$8-Entradas!$B$9)/(1+L13*K13*(Entradas!$B$11+AB13))</x:f>
        <x:v>27.347177378721494</x:v>
      </x:c>
    </x:row>
    <x:row r="14" ht="26" customHeight="1">
      <x:c r="A14" s="13" t="n">
        <x:v>50</x:v>
      </x:c>
      <x:c r="B14" s="20" t="n">
        <x:f>(Entradas!$B$8-AC14)/L14</x:f>
        <x:v>107.87776027816149</x:v>
      </x:c>
      <x:c r="C14" s="20" t="n">
        <x:f>B14/Entradas!$B$5</x:f>
        <x:v>10.787776027816149</x:v>
      </x:c>
      <x:c r="D14" s="20" t="n">
        <x:f>AC14</x:f>
        <x:v>26.77846038643017</x:v>
      </x:c>
      <x:c r="E14" s="30" t="n">
        <x:f>1-B14/$B$5</x:f>
        <x:v>0.8892156976539991</x:v>
      </x:c>
      <x:c r="F14" s="32" t="n">
        <x:f>B14/1000*Entradas!$B$16/Entradas!$B$18*Entradas!$B$17</x:f>
        <x:v>380.7450362758641</x:v>
      </x:c>
      <x:c r="G14" s="32" t="n">
        <x:f>$F$5-F14</x:f>
        <x:v>3056.0689185272554</x:v>
      </x:c>
      <x:c r="H14" s="20" t="n">
        <x:f>Entradas!$B$11*K14*(D14-Entradas!$B$9)</x:f>
        <x:v>72.63357510122329</x:v>
      </x:c>
      <x:c r="I14" s="20" t="n">
        <x:f>IF(Entradas!$B$15=1,Entradas!$B$14*0.00000005670374419*K14*((D14+273.15)^4-(Entradas!$B$9+273.15)^4),0)</x:f>
        <x:v>35.24418517693869</x:v>
      </x:c>
      <x:c r="J14" s="34" t="n">
        <x:f>(Entradas!$B$7+A14)/1000</x:f>
        <x:v>0.065</x:v>
      </x:c>
      <x:c r="K14" s="34" t="n">
        <x:f>2*PI()*J14*Entradas!$B$5</x:f>
        <x:v>4.084070449666731</x:v>
      </x:c>
      <x:c r="L14" s="34" t="n">
        <x:f>1/(Entradas!$B$10*2*PI()*(Entradas!$B$6/1000)*Entradas!$B$5)+LN(Entradas!$B$7/Entradas!$B$6)/(2*PI()*Entradas!$B$12*Entradas!$B$5)+LN(J14/(Entradas!$B$7/1000))/(2*PI()*Entradas!$B$13*Entradas!$B$5)</x:f>
        <x:v>0.5860479439928477</x:v>
      </x:c>
      <x:c r="M14" s="34" t="n">
        <x:f>Entradas!$B$9+(Entradas!$B$8-Entradas!$B$9)/(1+L14*K14*Entradas!$B$11)</x:f>
        <x:v>27.606818299944372</x:v>
      </x:c>
      <x:c r="N14" s="34" t="n">
        <x:f>IF(Entradas!$B$15=1,Entradas!$B$14*0.00000005670374419*(((M14+273.15)^2)+((Entradas!$B$9+273.15)^2))*((M14+273.15)+(Entradas!$B$9+273.15)),0)</x:f>
        <x:v>4.872565970927788</x:v>
      </x:c>
      <x:c r="O14" s="34" t="n">
        <x:f>Entradas!$B$9+(Entradas!$B$8-Entradas!$B$9)/(1+L14*K14*(Entradas!$B$11+N14))</x:f>
        <x:v>26.776106333008492</x:v>
      </x:c>
      <x:c r="P14" s="34" t="n">
        <x:f>IF(Entradas!$B$15=1,Entradas!$B$14*0.00000005670374419*(((O14+273.15)^2)+((Entradas!$B$9+273.15)^2))*((O14+273.15)+(Entradas!$B$9+273.15)),0)</x:f>
        <x:v>4.852269510509651</x:v>
      </x:c>
      <x:c r="Q14" s="34" t="n">
        <x:f>Entradas!$B$9+(Entradas!$B$8-Entradas!$B$9)/(1+L14*K14*(Entradas!$B$11+P14))</x:f>
        <x:v>26.778467072759444</x:v>
      </x:c>
      <x:c r="R14" s="34" t="n">
        <x:f>IF(Entradas!$B$15=1,Entradas!$B$14*0.00000005670374419*(((Q14+273.15)^2)+((Entradas!$B$9+273.15)^2))*((Q14+273.15)+(Entradas!$B$9+273.15)),0)</x:f>
        <x:v>4.852327083200084</x:v>
      </x:c>
      <x:c r="S14" s="34" t="n">
        <x:f>Entradas!$B$9+(Entradas!$B$8-Entradas!$B$9)/(1+L14*K14*(Entradas!$B$11+R14))</x:f>
        <x:v>26.778460367438644</x:v>
      </x:c>
      <x:c r="T14" s="34" t="n">
        <x:f>IF(Entradas!$B$15=1,Entradas!$B$14*0.00000005670374419*(((S14+273.15)^2)+((Entradas!$B$9+273.15)^2))*((S14+273.15)+(Entradas!$B$9+273.15)),0)</x:f>
        <x:v>4.852326919672789</x:v>
      </x:c>
      <x:c r="U14" s="34" t="n">
        <x:f>Entradas!$B$9+(Entradas!$B$8-Entradas!$B$9)/(1+L14*K14*(Entradas!$B$11+T14))</x:f>
        <x:v>26.778460386484113</x:v>
      </x:c>
      <x:c r="V14" s="34" t="n">
        <x:f>IF(Entradas!$B$15=1,Entradas!$B$14*0.00000005670374419*(((U14+273.15)^2)+((Entradas!$B$9+273.15)^2))*((U14+273.15)+(Entradas!$B$9+273.15)),0)</x:f>
        <x:v>4.852326920137264</x:v>
      </x:c>
      <x:c r="W14" s="34" t="n">
        <x:f>Entradas!$B$9+(Entradas!$B$8-Entradas!$B$9)/(1+L14*K14*(Entradas!$B$11+V14))</x:f>
        <x:v>26.778460386430016</x:v>
      </x:c>
      <x:c r="X14" s="34" t="n">
        <x:f>IF(Entradas!$B$15=1,Entradas!$B$14*0.00000005670374419*(((W14+273.15)^2)+((Entradas!$B$9+273.15)^2))*((W14+273.15)+(Entradas!$B$9+273.15)),0)</x:f>
        <x:v>4.852326920135945</x:v>
      </x:c>
      <x:c r="Y14" s="34" t="n">
        <x:f>Entradas!$B$9+(Entradas!$B$8-Entradas!$B$9)/(1+L14*K14*(Entradas!$B$11+X14))</x:f>
        <x:v>26.77846038643017</x:v>
      </x:c>
      <x:c r="Z14" s="34" t="n">
        <x:f>IF(Entradas!$B$15=1,Entradas!$B$14*0.00000005670374419*(((Y14+273.15)^2)+((Entradas!$B$9+273.15)^2))*((Y14+273.15)+(Entradas!$B$9+273.15)),0)</x:f>
        <x:v>4.852326920135949</x:v>
      </x:c>
      <x:c r="AA14" s="34" t="n">
        <x:f>Entradas!$B$9+(Entradas!$B$8-Entradas!$B$9)/(1+L14*K14*(Entradas!$B$11+Z14))</x:f>
        <x:v>26.77846038643017</x:v>
      </x:c>
      <x:c r="AB14" s="34" t="n">
        <x:f>IF(Entradas!$B$15=1,Entradas!$B$14*0.00000005670374419*(((AA14+273.15)^2)+((Entradas!$B$9+273.15)^2))*((AA14+273.15)+(Entradas!$B$9+273.15)),0)</x:f>
        <x:v>4.852326920135949</x:v>
      </x:c>
      <x:c r="AC14" s="34" t="n">
        <x:f>Entradas!$B$9+(Entradas!$B$8-Entradas!$B$9)/(1+L14*K14*(Entradas!$B$11+AB14))</x:f>
        <x:v>26.77846038643017</x:v>
      </x:c>
    </x:row>
    <x:row r="15" ht="26" customHeight="1">
      <x:c r="A15" s="13" t="n">
        <x:v>60</x:v>
      </x:c>
      <x:c r="B15" s="20" t="n">
        <x:f>(Entradas!$B$8-AC15)/L15</x:f>
        <x:v>98.89206181617186</x:v>
      </x:c>
      <x:c r="C15" s="20" t="n">
        <x:f>B15/Entradas!$B$5</x:f>
        <x:v>9.889206181617187</x:v>
      </x:c>
      <x:c r="D15" s="20" t="n">
        <x:f>AC15</x:f>
        <x:v>26.413792641574407</x:v>
      </x:c>
      <x:c r="E15" s="30" t="n">
        <x:f>1-B15/$B$5</x:f>
        <x:v>0.8984434970876936</x:v>
      </x:c>
      <x:c r="F15" s="32" t="n">
        <x:f>B15/1000*Entradas!$B$16/Entradas!$B$18*Entradas!$B$17</x:f>
        <x:v>349.0308064100184</x:v>
      </x:c>
      <x:c r="G15" s="32" t="n">
        <x:f>$F$5-F15</x:f>
        <x:v>3087.7831483931013</x:v>
      </x:c>
      <x:c r="H15" s="20" t="n">
        <x:f>Entradas!$B$11*K15*(D15-Entradas!$B$9)</x:f>
        <x:v>66.62340864704196</x:v>
      </x:c>
      <x:c r="I15" s="20" t="n">
        <x:f>IF(Entradas!$B$15=1,Entradas!$B$14*0.00000005670374419*K15*((D15+273.15)^4-(Entradas!$B$9+273.15)^4),0)</x:f>
        <x:v>32.26865316912943</x:v>
      </x:c>
      <x:c r="J15" s="34" t="n">
        <x:f>(Entradas!$B$7+A15)/1000</x:f>
        <x:v>0.075</x:v>
      </x:c>
      <x:c r="K15" s="34" t="n">
        <x:f>2*PI()*J15*Entradas!$B$5</x:f>
        <x:v>4.71238898038469</x:v>
      </x:c>
      <x:c r="L15" s="34" t="n">
        <x:f>1/(Entradas!$B$10*2*PI()*(Entradas!$B$6/1000)*Entradas!$B$5)+LN(Entradas!$B$7/Entradas!$B$6)/(2*PI()*Entradas!$B$12*Entradas!$B$5)+LN(J15/(Entradas!$B$7/1000))/(2*PI()*Entradas!$B$13*Entradas!$B$5)</x:f>
        <x:v>0.6429859605579314</x:v>
      </x:c>
      <x:c r="M15" s="34" t="n">
        <x:f>Entradas!$B$9+(Entradas!$B$8-Entradas!$B$9)/(1+L15*K15*Entradas!$B$11)</x:f>
        <x:v>27.07667734610038</x:v>
      </x:c>
      <x:c r="N15" s="34" t="n">
        <x:f>IF(Entradas!$B$15=1,Entradas!$B$14*0.00000005670374419*(((M15+273.15)^2)+((Entradas!$B$9+273.15)^2))*((M15+273.15)+(Entradas!$B$9+273.15)),0)</x:f>
        <x:v>4.859604577212148</x:v>
      </x:c>
      <x:c r="O15" s="34" t="n">
        <x:f>Entradas!$B$9+(Entradas!$B$8-Entradas!$B$9)/(1+L15*K15*(Entradas!$B$11+N15))</x:f>
        <x:v>26.412288174221885</x:v>
      </x:c>
      <x:c r="P15" s="34" t="n">
        <x:f>IF(Entradas!$B$15=1,Entradas!$B$14*0.00000005670374419*(((O15+273.15)^2)+((Entradas!$B$9+273.15)^2))*((O15+273.15)+(Entradas!$B$9+273.15)),0)</x:f>
        <x:v>4.843404109426404</x:v>
      </x:c>
      <x:c r="Q15" s="34" t="n">
        <x:f>Entradas!$B$9+(Entradas!$B$8-Entradas!$B$9)/(1+L15*K15*(Entradas!$B$11+P15))</x:f>
        <x:v>26.41379605466409</x:v>
      </x:c>
      <x:c r="R15" s="34" t="n">
        <x:f>IF(Entradas!$B$15=1,Entradas!$B$14*0.00000005670374419*(((Q15+273.15)^2)+((Entradas!$B$9+273.15)^2))*((Q15+273.15)+(Entradas!$B$9+273.15)),0)</x:f>
        <x:v>4.843440823290507</x:v>
      </x:c>
      <x:c r="S15" s="34" t="n">
        <x:f>Entradas!$B$9+(Entradas!$B$8-Entradas!$B$9)/(1+L15*K15*(Entradas!$B$11+R15))</x:f>
        <x:v>26.41379263383134</x:v>
      </x:c>
      <x:c r="T15" s="34" t="n">
        <x:f>IF(Entradas!$B$15=1,Entradas!$B$14*0.00000005670374419*(((S15+273.15)^2)+((Entradas!$B$9+273.15)^2))*((S15+273.15)+(Entradas!$B$9+273.15)),0)</x:f>
        <x:v>4.843440739999813</x:v>
      </x:c>
      <x:c r="U15" s="34" t="n">
        <x:f>Entradas!$B$9+(Entradas!$B$8-Entradas!$B$9)/(1+L15*K15*(Entradas!$B$11+T15))</x:f>
        <x:v>26.41379264159197</x:v>
      </x:c>
      <x:c r="V15" s="34" t="n">
        <x:f>IF(Entradas!$B$15=1,Entradas!$B$14*0.00000005670374419*(((U15+273.15)^2)+((Entradas!$B$9+273.15)^2))*((U15+273.15)+(Entradas!$B$9+273.15)),0)</x:f>
        <x:v>4.843440740188767</x:v>
      </x:c>
      <x:c r="W15" s="34" t="n">
        <x:f>Entradas!$B$9+(Entradas!$B$8-Entradas!$B$9)/(1+L15*K15*(Entradas!$B$11+V15))</x:f>
        <x:v>26.413792641574368</x:v>
      </x:c>
      <x:c r="X15" s="34" t="n">
        <x:f>IF(Entradas!$B$15=1,Entradas!$B$14*0.00000005670374419*(((W15+273.15)^2)+((Entradas!$B$9+273.15)^2))*((W15+273.15)+(Entradas!$B$9+273.15)),0)</x:f>
        <x:v>4.84344074018834</x:v>
      </x:c>
      <x:c r="Y15" s="34" t="n">
        <x:f>Entradas!$B$9+(Entradas!$B$8-Entradas!$B$9)/(1+L15*K15*(Entradas!$B$11+X15))</x:f>
        <x:v>26.413792641574407</x:v>
      </x:c>
      <x:c r="Z15" s="34" t="n">
        <x:f>IF(Entradas!$B$15=1,Entradas!$B$14*0.00000005670374419*(((Y15+273.15)^2)+((Entradas!$B$9+273.15)^2))*((Y15+273.15)+(Entradas!$B$9+273.15)),0)</x:f>
        <x:v>4.84344074018834</x:v>
      </x:c>
      <x:c r="AA15" s="34" t="n">
        <x:f>Entradas!$B$9+(Entradas!$B$8-Entradas!$B$9)/(1+L15*K15*(Entradas!$B$11+Z15))</x:f>
        <x:v>26.413792641574407</x:v>
      </x:c>
      <x:c r="AB15" s="34" t="n">
        <x:f>IF(Entradas!$B$15=1,Entradas!$B$14*0.00000005670374419*(((AA15+273.15)^2)+((Entradas!$B$9+273.15)^2))*((AA15+273.15)+(Entradas!$B$9+273.15)),0)</x:f>
        <x:v>4.84344074018834</x:v>
      </x:c>
      <x:c r="AC15" s="34" t="n">
        <x:f>Entradas!$B$9+(Entradas!$B$8-Entradas!$B$9)/(1+L15*K15*(Entradas!$B$11+AB15))</x:f>
        <x:v>26.413792641574407</x:v>
      </x:c>
    </x:row>
    <x:row r="17">
      <x:c r="A17" t="str">
        <x:v>Conferência (W)</x:v>
      </x:c>
      <x:c r="B17" t="n">
        <x:f>B9-H9-I9</x:f>
        <x:v>2.7000623958883807e-13</x:v>
      </x:c>
      <x:c r="C17" t="str">
        <x:v>Deve ser ≈ 0</x:v>
      </x:c>
    </x:row>
    <x:row r="19">
      <x:c r="A19" t="str">
        <x:v>Modelo iterativo</x:v>
      </x:c>
      <x:c r="B19" s="36" t="str">
        <x:v>A temperatura superficial é refinada 8 vezes por linearização exata de h_rad(Ts).</x:v>
      </x:c>
      <x:c r="C19" s="36"/>
      <x:c r="D19" s="36"/>
      <x:c r="E19" s="36"/>
      <x:c r="F19" s="36"/>
      <x:c r="G19" s="36"/>
      <x:c r="H19" s="36"/>
      <x:c r="I19" s="36"/>
    </x:row>
  </x:sheetData>
  <x:mergeCells>
    <x:mergeCell ref="A1:I2"/>
    <x:mergeCell ref="B19:I1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40" hidden="0" customWidth="1"/>
    <x:col min="2" max="2" width="24" hidden="0" customWidth="1"/>
    <x:col min="3" max="3" width="24" hidden="0" customWidth="1"/>
  </x:cols>
  <x:sheetData>
    <x:row r="1" ht="25" customHeight="1">
      <x:c r="A1" s="3" t="str">
        <x:v>ENGENHARIA 003  |  PAINEL DO LABORATÓRIO</x:v>
      </x:c>
      <x:c r="B1" s="3"/>
      <x:c r="C1" s="3"/>
      <x:c r="D1" s="3"/>
      <x:c r="E1" s="3"/>
      <x:c r="F1" s="3"/>
      <x:c r="G1" s="3"/>
    </x:row>
    <x:row r="2" ht="25" customHeight="1">
      <x:c r="A2" s="3"/>
      <x:c r="B2" s="3"/>
      <x:c r="C2" s="3"/>
      <x:c r="D2" s="3"/>
      <x:c r="E2" s="3"/>
      <x:c r="F2" s="3"/>
      <x:c r="G2" s="3"/>
    </x:row>
    <x:row r="4" ht="27" customHeight="1">
      <x:c r="A4" s="9" t="str">
        <x:v>INDICADOR</x:v>
      </x:c>
      <x:c r="B4" s="9" t="str">
        <x:v>TUBO NU</x:v>
      </x:c>
      <x:c r="C4" s="9" t="str">
        <x:v>20 mm DE ISOLAMENTO</x:v>
      </x:c>
    </x:row>
    <x:row r="5">
      <x:c r="A5" t="str">
        <x:v>Perda térmica no trecho (W)</x:v>
      </x:c>
      <x:c r="B5" s="38" t="n">
        <x:f>Cenarios!B5</x:f>
        <x:v>973.7639538608839</x:v>
      </x:c>
      <x:c r="C5" s="38" t="n">
        <x:f>Cenarios!B9</x:f>
        <x:v>175.59164296715204</x:v>
      </x:c>
    </x:row>
    <x:row r="6">
      <x:c r="A6" t="str">
        <x:v>Perda por metro (W/m)</x:v>
      </x:c>
      <x:c r="B6" s="38" t="n">
        <x:f>Cenarios!C5</x:f>
        <x:v>97.37639538608839</x:v>
      </x:c>
      <x:c r="C6" s="38" t="n">
        <x:f>Cenarios!C9</x:f>
        <x:v>17.559164296715203</x:v>
      </x:c>
    </x:row>
    <x:row r="7">
      <x:c r="A7" t="str">
        <x:v>Temp. superfície (°C)</x:v>
      </x:c>
      <x:c r="B7" s="38" t="n">
        <x:f>Cenarios!D5</x:f>
        <x:v>87.45753917395939</x:v>
      </x:c>
      <x:c r="C7" s="38" t="n">
        <x:f>Cenarios!D9</x:f>
        <x:v>30.3444830974266</x:v>
      </x:c>
    </x:row>
    <x:row r="8">
      <x:c r="A8" t="str">
        <x:v>Custo reposição (R$/ano)</x:v>
      </x:c>
      <x:c r="B8" s="38" t="n">
        <x:f>Cenarios!F5</x:f>
        <x:v>3436.8139548031195</x:v>
      </x:c>
      <x:c r="C8" s="38" t="n">
        <x:f>Cenarios!F9</x:f>
        <x:v>619.7352104723013</x:v>
      </x:c>
    </x:row>
    <x:row r="10">
      <x:c r="A10" t="str">
        <x:v>Redução da perda com 20 mm</x:v>
      </x:c>
      <x:c r="B10" s="30" t="n">
        <x:f>Cenarios!E9</x:f>
        <x:v>0.8196774051134801</x:v>
      </x:c>
    </x:row>
    <x:row r="11">
      <x:c r="A11" t="str">
        <x:v>Economia bruta estimada (R$/ano)</x:v>
      </x:c>
      <x:c r="B11" s="32" t="n">
        <x:f>Cenarios!G9</x:f>
        <x:v>2817.078744330818</x:v>
      </x:c>
    </x:row>
    <x:row r="13">
      <x:c r="A13" s="36" t="str">
        <x:v>NÃO inclui custo de isolamento, manutenção ou mudanças no processo. Os valores são hipotéticos.</x:v>
      </x:c>
      <x:c r="B13" s="36"/>
      <x:c r="C13" s="36"/>
    </x:row>
  </x:sheetData>
  <x:mergeCells>
    <x:mergeCell ref="A1:G2"/>
    <x:mergeCell ref="A13:C13"/>
  </x:mergeCells>
  <x:pageMargins left="0.7" right="0.7" top="0.75" bottom="0.75" header="0.3" footer="0.3"/>
  <x:drawing xmlns:r="http://schemas.openxmlformats.org/officeDocument/2006/relationships" r:id="Racb9b96a24ad4162"/>
</x:worksheet>
</file>